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KR\Desktop\"/>
    </mc:Choice>
  </mc:AlternateContent>
  <xr:revisionPtr revIDLastSave="0" documentId="8_{4393A37A-3EF7-4989-895F-CF48B33A6007}" xr6:coauthVersionLast="47" xr6:coauthVersionMax="47" xr10:uidLastSave="{00000000-0000-0000-0000-000000000000}"/>
  <bookViews>
    <workbookView xWindow="12360" yWindow="300" windowWidth="28860" windowHeight="19530" tabRatio="934" firstSheet="1" activeTab="1" xr2:uid="{00000000-000D-0000-FFFF-FFFF00000000}"/>
  </bookViews>
  <sheets>
    <sheet name="VXXX" sheetId="1" state="veryHidden" r:id="rId1"/>
    <sheet name="표지" sheetId="36" r:id="rId2"/>
    <sheet name="사업개요" sheetId="35" r:id="rId3"/>
    <sheet name="상세위치도" sheetId="56" r:id="rId4"/>
    <sheet name="수지예산서" sheetId="52" r:id="rId5"/>
    <sheet name="폐기물처리비" sheetId="126" r:id="rId6"/>
    <sheet name="자재대" sheetId="27" r:id="rId7"/>
    <sheet name="토목총괄표" sheetId="44" r:id="rId8"/>
    <sheet name="총공사비" sheetId="74" r:id="rId9"/>
    <sheet name="토목공사비" sheetId="43" r:id="rId10"/>
    <sheet name="재료집계표" sheetId="42" r:id="rId11"/>
    <sheet name="덮개단면도" sheetId="125" state="hidden" r:id="rId12"/>
    <sheet name="재료계산서" sheetId="92" r:id="rId13"/>
    <sheet name="단가일람" sheetId="20" r:id="rId14"/>
    <sheet name="단가내역" sheetId="19" r:id="rId15"/>
    <sheet name="단가산출" sheetId="131" r:id="rId16"/>
    <sheet name="기초일람" sheetId="11" r:id="rId17"/>
    <sheet name="기초내역" sheetId="10" r:id="rId18"/>
    <sheet name="기초단위당" sheetId="9" r:id="rId19"/>
    <sheet name="기초작업량" sheetId="8" r:id="rId20"/>
    <sheet name="자재일람" sheetId="13" r:id="rId21"/>
    <sheet name="자재내역" sheetId="15" r:id="rId22"/>
    <sheet name="자재단위당" sheetId="14" r:id="rId23"/>
    <sheet name="자재작업량" sheetId="16" r:id="rId24"/>
    <sheet name="중기단위당" sheetId="18" r:id="rId25"/>
    <sheet name="중기작업량" sheetId="17" r:id="rId26"/>
    <sheet name="중기일람" sheetId="7" r:id="rId27"/>
    <sheet name="중기내역" sheetId="6" r:id="rId28"/>
    <sheet name="중기가격" sheetId="5" r:id="rId29"/>
    <sheet name="노임" sheetId="3" r:id="rId30"/>
    <sheet name="자재" sheetId="4" r:id="rId31"/>
    <sheet name="구역화물" sheetId="12" r:id="rId32"/>
    <sheet name="운반거리" sheetId="22" r:id="rId33"/>
    <sheet name="Sheet1" sheetId="129" r:id="rId34"/>
    <sheet name="Sheet2" sheetId="130" r:id="rId35"/>
  </sheets>
  <externalReferences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</externalReferences>
  <definedNames>
    <definedName name="_1_0_F" hidden="1">[1]노임단가!#REF!</definedName>
    <definedName name="_2_2_0_Parse" hidden="1">[1]노임단가!#REF!</definedName>
    <definedName name="_Fill" hidden="1">#REF!</definedName>
    <definedName name="_xlnm._FilterDatabase" hidden="1">#REF!</definedName>
    <definedName name="_Order1" hidden="1">255</definedName>
    <definedName name="_Sort" hidden="1">#REF!</definedName>
    <definedName name="ACX" hidden="1">#REF!</definedName>
    <definedName name="alslsdkjfjs" hidden="1">#REF!</definedName>
    <definedName name="AS" hidden="1">[1]노임단가!#REF!</definedName>
    <definedName name="ASC" hidden="1">'[2]98수문일위'!$A$1:$P$2004</definedName>
    <definedName name="asdfasdfasdfasfcasx" hidden="1">'[3]98수문일위'!$A$1:$P$2004</definedName>
    <definedName name="DFASDF" hidden="1">#REF!</definedName>
    <definedName name="FBㅇㅇ" hidden="1">#REF!</definedName>
    <definedName name="ff" hidden="1">#REF!</definedName>
    <definedName name="_xlnm.Print_Area" localSheetId="31">구역화물!$A$1:$J$23</definedName>
    <definedName name="_xlnm.Print_Area" localSheetId="14">단가내역!$A$1:$L$722</definedName>
    <definedName name="_xlnm.Print_Area" localSheetId="15">단가산출!$B$2:$DA$124</definedName>
    <definedName name="_xlnm.Print_Area" localSheetId="13">단가일람!$A$1:$H$142</definedName>
    <definedName name="_xlnm.Print_Area" localSheetId="11">덮개단면도!$A$1:$U$33</definedName>
    <definedName name="_xlnm.Print_Area" localSheetId="3">상세위치도!$A$1:$J$95</definedName>
    <definedName name="_xlnm.Print_Area" localSheetId="4">수지예산서!$A$1:$G$22</definedName>
    <definedName name="_xlnm.Print_Area" localSheetId="30">자재!$A$1:$G$285</definedName>
    <definedName name="_xlnm.Print_Area" localSheetId="6">자재대!$A$1:$K$16</definedName>
    <definedName name="_xlnm.Print_Area" localSheetId="23">자재작업량!$A$1:$M$210</definedName>
    <definedName name="_xlnm.Print_Area" localSheetId="12">재료계산서!$A$1:$Q$70</definedName>
    <definedName name="_xlnm.Print_Area" localSheetId="28">중기가격!$A$1:$F$85</definedName>
    <definedName name="_xlnm.Print_Area" localSheetId="8">#REF!</definedName>
    <definedName name="_xlnm.Print_Area" localSheetId="9">토목공사비!$A$1:$M$32</definedName>
    <definedName name="_xlnm.Print_Area" localSheetId="7">토목총괄표!$A$1:$L$29</definedName>
    <definedName name="_xlnm.Print_Area">#REF!</definedName>
    <definedName name="_xlnm.Print_Titles" localSheetId="17">기초내역!$1:$3</definedName>
    <definedName name="_xlnm.Print_Titles" localSheetId="16">기초일람!$1:$2</definedName>
    <definedName name="_xlnm.Print_Titles" localSheetId="14">단가내역!$1:$3</definedName>
    <definedName name="_xlnm.Print_Titles" localSheetId="15">단가산출!$1:$3</definedName>
    <definedName name="_xlnm.Print_Titles" localSheetId="13">단가일람!$1:$3</definedName>
    <definedName name="_xlnm.Print_Titles" localSheetId="30">자재!$1:$3</definedName>
    <definedName name="_xlnm.Print_Titles" localSheetId="21">자재내역!$1:$3</definedName>
    <definedName name="_xlnm.Print_Titles" localSheetId="22">자재단위당!$1:$3</definedName>
    <definedName name="_xlnm.Print_Titles" localSheetId="28">중기가격!$1:$3</definedName>
    <definedName name="_xlnm.Print_Titles" localSheetId="24">중기단위당!$1:$3</definedName>
    <definedName name="_xlnm.Print_Titles" localSheetId="26">중기일람!$1:$3</definedName>
    <definedName name="_xlnm.Print_Titles" localSheetId="8">총공사비!$3:$4</definedName>
    <definedName name="_xlnm.Print_Titles" localSheetId="9">토목공사비!$3:$4</definedName>
    <definedName name="_xlnm.Print_Titles">#REF!</definedName>
    <definedName name="SdAS" hidden="1">'[2]98수문일위'!$A$1:$P$2004</definedName>
    <definedName name="SDF" hidden="1">#REF!</definedName>
    <definedName name="XCVBGSDFGSER" hidden="1">#REF!</definedName>
    <definedName name="개거" hidden="1">#REF!</definedName>
    <definedName name="ㄴ" hidden="1">#REF!</definedName>
    <definedName name="ㄴㅁ" hidden="1">#REF!</definedName>
    <definedName name="ㄴㅁㄴㅇㄹ" hidden="1">#REF!</definedName>
    <definedName name="ㄴㅇㄹㄷ" hidden="1">#REF!</definedName>
    <definedName name="ㄴㅇㄻ" hidden="1">#REF!</definedName>
    <definedName name="ㄴㅇㄼㅈㄷㄹ" hidden="1">'[3]98수문일위'!$A$1:$P$2004</definedName>
    <definedName name="ㄴㅇㅇ" hidden="1">#REF!</definedName>
    <definedName name="ㄴㅇㅍㅁㄴㅇㄹ" hidden="1">'[2]98수문일위'!$A$1:$P$2004</definedName>
    <definedName name="ㄹㄴ" hidden="1">#REF!</definedName>
    <definedName name="ㄹㅇㄹㅈㄷㅊ" hidden="1">'[2]98수문일위'!$A$1:$P$2004</definedName>
    <definedName name="ㅁ" hidden="1">#REF!</definedName>
    <definedName name="ㅁㄴㅇㄹ" hidden="1">#REF!</definedName>
    <definedName name="ㅁㄴㅇ류" hidden="1">#REF!</definedName>
    <definedName name="ㅁㄴㅇㄻㄴㅇㄹㄴ" hidden="1">#REF!</definedName>
    <definedName name="ㅁㄴㅇㅍㄴㅇㄴ" hidden="1">'[3]98수문일위'!$A$1:$P$2004</definedName>
    <definedName name="ㅁㄴㅊㅍㅁㅌㅊ펌ㄴㅇㄹ" hidden="1">#REF!</definedName>
    <definedName name="ㅁㄻㄴㅇㄹㄴㅇㄹㄴ" hidden="1">#REF!</definedName>
    <definedName name="ㅁ인ㅍㅁ닟ㅍㅁㄴㅇㄹ" hidden="1">#REF!</definedName>
    <definedName name="ㅁ읾ㄴㅇㄻ" hidden="1">#REF!</definedName>
    <definedName name="ㅁㅈㄷㅅㅂㄱ흎ㅊ퓨" hidden="1">#REF!</definedName>
    <definedName name="ㅁㅊㅇㅍㅁㄴㅇㄻㄴㅇㄹ" hidden="1">#REF!</definedName>
    <definedName name="상하지구" hidden="1">#REF!</definedName>
    <definedName name="ㅇㄹ" hidden="1">'[4]98수문일위'!$A$1:$P$2004</definedName>
    <definedName name="ㅇㄻㄴㅇㄻㄴㅇㄹ" hidden="1">#REF!</definedName>
    <definedName name="ㅇㅈㄷㅄㅂㅈㄷㄱ" hidden="1">#REF!</definedName>
    <definedName name="역리지구" hidden="1">#REF!</definedName>
    <definedName name="인구" hidden="1">#REF!</definedName>
    <definedName name="ㅈㄷㄻㅇㄹ" hidden="1">#REF!</definedName>
    <definedName name="ㅈㄷㄻㅈ" hidden="1">#REF!</definedName>
    <definedName name="제수문" hidden="1">#REF!</definedName>
    <definedName name="ㅊㅍ" hidden="1">#REF!</definedName>
    <definedName name="ㅍ" hidden="1">'[4]98수문일위'!$A$1:$P$2004</definedName>
    <definedName name="ㅍㄴㅇㄹ" hidden="1">#REF!</definedName>
    <definedName name="ㅍㅇㄴ" hidden="1">'[2]98수문일위'!$A$1:$P$2004</definedName>
    <definedName name="ㅍㅋㅌㅊㅍㅇㄷ" hidden="1">'[2]98수문일위'!$A$1:$P$2004</definedName>
    <definedName name="페기갑지" hidden="1">#REF!</definedName>
    <definedName name="폐기" hidden="1">#REF!</definedName>
    <definedName name="ㅎㄴㅇㅁㄹ" hidden="1">'[5]98수문일위'!$A$1:$P$2004</definedName>
  </definedNames>
  <calcPr calcId="191029"/>
  <customWorkbookViews>
    <customWorkbookView name="김성용 - 기본 보기" guid="{D73D5080-A04E-11D4-B8A5-00609727EAB1}" mergeInterval="0" personalView="1" maximized="1" windowWidth="1020" windowHeight="580" tabRatio="941" activeSheetId="19"/>
    <customWorkbookView name="김병규 - 기본 보기" guid="{2D877E0D-A04C-11D4-947E-00001C044B2C}" mergeInterval="0" personalView="1" maximized="1" windowWidth="1020" windowHeight="580" tabRatio="941" activeSheetId="19"/>
    <customWorkbookView name=".. - 기본 보기" guid="{6F21C780-A002-11D4-A1D9-00104BD549C6}" mergeInterval="0" personalView="1" maximized="1" windowWidth="1020" windowHeight="607" tabRatio="941" activeSheetId="19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1" i="42" l="1"/>
  <c r="A1" i="43"/>
  <c r="A5" i="74"/>
  <c r="A1" i="74"/>
  <c r="A1" i="44"/>
  <c r="A1" i="126"/>
  <c r="A5" i="52"/>
  <c r="A1" i="52"/>
  <c r="A1" i="56"/>
  <c r="F16" i="35"/>
  <c r="F15" i="35"/>
  <c r="F12" i="35"/>
  <c r="E16" i="35"/>
  <c r="E15" i="35"/>
  <c r="E14" i="35"/>
  <c r="E13" i="35"/>
  <c r="E12" i="35"/>
  <c r="E11" i="35"/>
  <c r="E10" i="35"/>
  <c r="D16" i="35"/>
  <c r="D15" i="35"/>
  <c r="D14" i="35"/>
  <c r="D13" i="35"/>
  <c r="D12" i="35"/>
  <c r="D11" i="35"/>
  <c r="D10" i="35"/>
  <c r="C16" i="35"/>
  <c r="C15" i="35"/>
  <c r="C14" i="35"/>
  <c r="C13" i="35"/>
  <c r="C12" i="35"/>
  <c r="P69" i="92"/>
  <c r="D19" i="43"/>
  <c r="D21" i="43"/>
  <c r="C21" i="43"/>
  <c r="D15" i="43"/>
  <c r="I27" i="42"/>
  <c r="E17" i="42"/>
  <c r="E5" i="42"/>
  <c r="E3" i="42"/>
  <c r="K17" i="43"/>
  <c r="I17" i="43"/>
  <c r="G17" i="43"/>
  <c r="H137" i="20"/>
  <c r="G137" i="20"/>
  <c r="F137" i="20"/>
  <c r="A138" i="20"/>
  <c r="E137" i="20"/>
  <c r="C691" i="19"/>
  <c r="C690" i="19"/>
  <c r="E688" i="19"/>
  <c r="G691" i="19"/>
  <c r="G690" i="19"/>
  <c r="J692" i="19"/>
  <c r="I692" i="19"/>
  <c r="H692" i="19"/>
  <c r="L691" i="19"/>
  <c r="J691" i="19"/>
  <c r="H691" i="19"/>
  <c r="F691" i="19" s="1"/>
  <c r="E690" i="19"/>
  <c r="L690" i="19"/>
  <c r="L689" i="19"/>
  <c r="J689" i="19"/>
  <c r="P21" i="92"/>
  <c r="P63" i="92"/>
  <c r="P57" i="92"/>
  <c r="P15" i="92"/>
  <c r="P51" i="92"/>
  <c r="H690" i="19" l="1"/>
  <c r="J690" i="19"/>
  <c r="J693" i="19" s="1"/>
  <c r="E691" i="19"/>
  <c r="H693" i="19" l="1"/>
  <c r="F690" i="19"/>
  <c r="K692" i="19" s="1"/>
  <c r="L692" i="19" l="1"/>
  <c r="E692" i="19"/>
  <c r="F692" i="19" l="1"/>
  <c r="L693" i="19"/>
  <c r="F693" i="19" s="1"/>
  <c r="F6" i="27" l="1"/>
  <c r="A21" i="43"/>
  <c r="D22" i="43"/>
  <c r="P5" i="92"/>
  <c r="P6" i="92" s="1"/>
  <c r="B10" i="27"/>
  <c r="C10" i="27"/>
  <c r="D10" i="27"/>
  <c r="P8" i="92"/>
  <c r="K15" i="43"/>
  <c r="I15" i="43"/>
  <c r="G15" i="43"/>
  <c r="E142" i="20"/>
  <c r="F7" i="27" l="1"/>
  <c r="J713" i="19"/>
  <c r="J707" i="19"/>
  <c r="J701" i="19"/>
  <c r="J695" i="19"/>
  <c r="C715" i="19"/>
  <c r="L715" i="19" s="1"/>
  <c r="C714" i="19"/>
  <c r="C709" i="19"/>
  <c r="L709" i="19" s="1"/>
  <c r="C708" i="19"/>
  <c r="J708" i="19" s="1"/>
  <c r="C703" i="19"/>
  <c r="L703" i="19" s="1"/>
  <c r="C702" i="19"/>
  <c r="J702" i="19" s="1"/>
  <c r="C697" i="19"/>
  <c r="J697" i="19" s="1"/>
  <c r="C696" i="19"/>
  <c r="J696" i="19" s="1"/>
  <c r="L708" i="19"/>
  <c r="G715" i="19"/>
  <c r="G709" i="19"/>
  <c r="H709" i="19" s="1"/>
  <c r="G697" i="19"/>
  <c r="G703" i="19"/>
  <c r="G714" i="19"/>
  <c r="H714" i="19" s="1"/>
  <c r="G708" i="19"/>
  <c r="E708" i="19" s="1"/>
  <c r="G702" i="19"/>
  <c r="G696" i="19"/>
  <c r="E696" i="19" s="1"/>
  <c r="I716" i="19"/>
  <c r="J716" i="19" s="1"/>
  <c r="H716" i="19"/>
  <c r="J715" i="19"/>
  <c r="H715" i="19"/>
  <c r="L714" i="19"/>
  <c r="J714" i="19"/>
  <c r="L713" i="19"/>
  <c r="I710" i="19"/>
  <c r="J710" i="19" s="1"/>
  <c r="H710" i="19"/>
  <c r="L707" i="19"/>
  <c r="I698" i="19"/>
  <c r="J698" i="19" s="1"/>
  <c r="H698" i="19"/>
  <c r="L695" i="19"/>
  <c r="H704" i="19"/>
  <c r="L701" i="19"/>
  <c r="E694" i="19"/>
  <c r="E700" i="19" s="1"/>
  <c r="E706" i="19" s="1"/>
  <c r="E712" i="19" s="1"/>
  <c r="J709" i="19" l="1"/>
  <c r="H6" i="27"/>
  <c r="H7" i="27"/>
  <c r="E714" i="19"/>
  <c r="L696" i="19"/>
  <c r="J717" i="19"/>
  <c r="G141" i="20" s="1"/>
  <c r="I21" i="43" s="1"/>
  <c r="L697" i="19"/>
  <c r="J703" i="19"/>
  <c r="H702" i="19"/>
  <c r="F702" i="19" s="1"/>
  <c r="L702" i="19"/>
  <c r="F715" i="19"/>
  <c r="F714" i="19"/>
  <c r="H717" i="19"/>
  <c r="F141" i="20" s="1"/>
  <c r="G21" i="43" s="1"/>
  <c r="H708" i="19"/>
  <c r="F708" i="19" s="1"/>
  <c r="F709" i="19"/>
  <c r="E715" i="19"/>
  <c r="J711" i="19"/>
  <c r="G140" i="20" s="1"/>
  <c r="H696" i="19"/>
  <c r="F696" i="19" s="1"/>
  <c r="E709" i="19"/>
  <c r="J699" i="19"/>
  <c r="G138" i="20" s="1"/>
  <c r="I13" i="43" s="1"/>
  <c r="E702" i="19"/>
  <c r="D20" i="43"/>
  <c r="D17" i="43"/>
  <c r="D18" i="43" s="1"/>
  <c r="P22" i="92"/>
  <c r="P23" i="92" s="1"/>
  <c r="I23" i="42"/>
  <c r="H23" i="42"/>
  <c r="H24" i="42" s="1"/>
  <c r="G21" i="42"/>
  <c r="F19" i="42"/>
  <c r="E18" i="42"/>
  <c r="D15" i="42"/>
  <c r="B23" i="42"/>
  <c r="B19" i="43" s="1"/>
  <c r="A23" i="42"/>
  <c r="A19" i="43" s="1"/>
  <c r="B21" i="42"/>
  <c r="B17" i="43" s="1"/>
  <c r="B19" i="42"/>
  <c r="B15" i="43" s="1"/>
  <c r="B17" i="42"/>
  <c r="B13" i="43" s="1"/>
  <c r="E24" i="42"/>
  <c r="J24" i="42"/>
  <c r="G24" i="42"/>
  <c r="A21" i="42"/>
  <c r="A17" i="43" s="1"/>
  <c r="A19" i="42"/>
  <c r="A15" i="43" s="1"/>
  <c r="A17" i="42"/>
  <c r="A13" i="43" s="1"/>
  <c r="A15" i="42"/>
  <c r="I20" i="42"/>
  <c r="H20" i="42"/>
  <c r="E20" i="42"/>
  <c r="D20" i="42"/>
  <c r="I18" i="42"/>
  <c r="J17" i="42"/>
  <c r="J18" i="42" s="1"/>
  <c r="G17" i="42"/>
  <c r="G18" i="42" s="1"/>
  <c r="J5" i="42"/>
  <c r="I5" i="42"/>
  <c r="H5" i="42"/>
  <c r="J3" i="42"/>
  <c r="I3" i="42"/>
  <c r="H3" i="42"/>
  <c r="J2" i="42"/>
  <c r="I2" i="42"/>
  <c r="H2" i="42"/>
  <c r="F2" i="42"/>
  <c r="E2" i="42"/>
  <c r="I28" i="42"/>
  <c r="H27" i="42"/>
  <c r="H28" i="42" s="1"/>
  <c r="I26" i="42"/>
  <c r="H25" i="42"/>
  <c r="H26" i="42" s="1"/>
  <c r="I22" i="42"/>
  <c r="J21" i="42"/>
  <c r="J22" i="42" s="1"/>
  <c r="I16" i="42"/>
  <c r="H15" i="42"/>
  <c r="H16" i="42" s="1"/>
  <c r="P70" i="92"/>
  <c r="J27" i="42" s="1"/>
  <c r="P66" i="92"/>
  <c r="P60" i="92"/>
  <c r="I9" i="42" s="1"/>
  <c r="I10" i="42" s="1"/>
  <c r="P54" i="92"/>
  <c r="H9" i="42" s="1"/>
  <c r="H10" i="42" s="1"/>
  <c r="P48" i="92"/>
  <c r="P12" i="92"/>
  <c r="E9" i="42" s="1"/>
  <c r="J9" i="42" l="1"/>
  <c r="J10" i="42" s="1"/>
  <c r="P67" i="92"/>
  <c r="I22" i="43"/>
  <c r="G22" i="43"/>
  <c r="J25" i="42"/>
  <c r="J26" i="42" s="1"/>
  <c r="K15" i="42"/>
  <c r="C22" i="43"/>
  <c r="K19" i="42"/>
  <c r="C15" i="43" s="1"/>
  <c r="C16" i="43" s="1"/>
  <c r="K21" i="42"/>
  <c r="C17" i="43" s="1"/>
  <c r="K18" i="42"/>
  <c r="K17" i="42"/>
  <c r="C13" i="43" s="1"/>
  <c r="C14" i="43" s="1"/>
  <c r="K23" i="42"/>
  <c r="C19" i="43" s="1"/>
  <c r="C20" i="43" s="1"/>
  <c r="I24" i="42"/>
  <c r="K24" i="42" s="1"/>
  <c r="H711" i="19"/>
  <c r="F140" i="20" s="1"/>
  <c r="K710" i="19"/>
  <c r="L710" i="19" s="1"/>
  <c r="K716" i="19"/>
  <c r="E716" i="19" s="1"/>
  <c r="J704" i="19"/>
  <c r="H703" i="19"/>
  <c r="E703" i="19"/>
  <c r="J28" i="42"/>
  <c r="F20" i="42"/>
  <c r="K20" i="42" s="1"/>
  <c r="P61" i="92"/>
  <c r="P55" i="92"/>
  <c r="P49" i="92"/>
  <c r="P13" i="92"/>
  <c r="P9" i="92"/>
  <c r="H21" i="43" l="1"/>
  <c r="J22" i="43"/>
  <c r="J21" i="43"/>
  <c r="H22" i="43"/>
  <c r="C11" i="43"/>
  <c r="E8" i="27"/>
  <c r="P68" i="92"/>
  <c r="J13" i="42" s="1"/>
  <c r="J14" i="42" s="1"/>
  <c r="J11" i="42"/>
  <c r="J12" i="42" s="1"/>
  <c r="P14" i="92"/>
  <c r="E13" i="42" s="1"/>
  <c r="E11" i="42"/>
  <c r="P50" i="92"/>
  <c r="G13" i="42" s="1"/>
  <c r="G11" i="42"/>
  <c r="P56" i="92"/>
  <c r="H13" i="42" s="1"/>
  <c r="H14" i="42" s="1"/>
  <c r="H11" i="42"/>
  <c r="H12" i="42" s="1"/>
  <c r="P62" i="92"/>
  <c r="I13" i="42" s="1"/>
  <c r="I14" i="42" s="1"/>
  <c r="I11" i="42"/>
  <c r="I12" i="42" s="1"/>
  <c r="L716" i="19"/>
  <c r="F716" i="19" s="1"/>
  <c r="E710" i="19"/>
  <c r="L711" i="19"/>
  <c r="F710" i="19"/>
  <c r="F703" i="19"/>
  <c r="K704" i="19" s="1"/>
  <c r="H705" i="19"/>
  <c r="F139" i="20" s="1"/>
  <c r="G19" i="43" s="1"/>
  <c r="J705" i="19"/>
  <c r="G139" i="20" s="1"/>
  <c r="I19" i="43" s="1"/>
  <c r="N14" i="35"/>
  <c r="M17" i="35" s="1"/>
  <c r="F9" i="27" l="1"/>
  <c r="G8" i="27"/>
  <c r="F8" i="27"/>
  <c r="F711" i="19"/>
  <c r="H140" i="20"/>
  <c r="L717" i="19"/>
  <c r="L704" i="19"/>
  <c r="E704" i="19"/>
  <c r="M19" i="35"/>
  <c r="H9" i="27" l="1"/>
  <c r="H8" i="27"/>
  <c r="F717" i="19"/>
  <c r="H141" i="20"/>
  <c r="K21" i="43" s="1"/>
  <c r="L705" i="19"/>
  <c r="F704" i="19"/>
  <c r="K22" i="43" l="1"/>
  <c r="L21" i="43"/>
  <c r="F21" i="43" s="1"/>
  <c r="E21" i="43"/>
  <c r="E141" i="20"/>
  <c r="F705" i="19"/>
  <c r="H139" i="20"/>
  <c r="K19" i="43" s="1"/>
  <c r="L22" i="43" l="1"/>
  <c r="F22" i="43" s="1"/>
  <c r="E22" i="43"/>
  <c r="G28" i="42" l="1"/>
  <c r="G26" i="42"/>
  <c r="G5" i="42"/>
  <c r="G3" i="42"/>
  <c r="G2" i="42"/>
  <c r="A134" i="20"/>
  <c r="A135" i="20" s="1"/>
  <c r="A136" i="20" s="1"/>
  <c r="H134" i="20"/>
  <c r="G134" i="20"/>
  <c r="F134" i="20"/>
  <c r="I684" i="19"/>
  <c r="J684" i="19" s="1"/>
  <c r="I679" i="19"/>
  <c r="J679" i="19" s="1"/>
  <c r="E686" i="19"/>
  <c r="F686" i="19" s="1"/>
  <c r="L685" i="19"/>
  <c r="J685" i="19"/>
  <c r="F685" i="19"/>
  <c r="L684" i="19"/>
  <c r="H684" i="19"/>
  <c r="E683" i="19"/>
  <c r="E681" i="19"/>
  <c r="F681" i="19" s="1"/>
  <c r="L680" i="19"/>
  <c r="J680" i="19"/>
  <c r="F680" i="19"/>
  <c r="L679" i="19"/>
  <c r="H679" i="19"/>
  <c r="E678" i="19"/>
  <c r="A139" i="20" l="1"/>
  <c r="A140" i="20" s="1"/>
  <c r="A141" i="20" s="1"/>
  <c r="A142" i="20" s="1"/>
  <c r="A137" i="20"/>
  <c r="G680" i="19"/>
  <c r="H680" i="19" s="1"/>
  <c r="E134" i="20"/>
  <c r="G685" i="19"/>
  <c r="H685" i="19" s="1"/>
  <c r="F684" i="19"/>
  <c r="F679" i="19"/>
  <c r="G9" i="42"/>
  <c r="G10" i="42" s="1"/>
  <c r="P18" i="92"/>
  <c r="P19" i="92" s="1"/>
  <c r="D11" i="42"/>
  <c r="G22" i="42" l="1"/>
  <c r="P7" i="92"/>
  <c r="G14" i="42" l="1"/>
  <c r="G12" i="42"/>
  <c r="F17" i="9" l="1"/>
  <c r="D13" i="43" l="1"/>
  <c r="D16" i="43" l="1"/>
  <c r="D14" i="43"/>
  <c r="F25" i="42"/>
  <c r="E22" i="42"/>
  <c r="K22" i="42" s="1"/>
  <c r="C18" i="43" s="1"/>
  <c r="F27" i="42"/>
  <c r="F28" i="42" s="1"/>
  <c r="F26" i="42" l="1"/>
  <c r="K25" i="42"/>
  <c r="P20" i="92"/>
  <c r="F13" i="42" s="1"/>
  <c r="E10" i="27" l="1"/>
  <c r="F10" i="27" s="1"/>
  <c r="F11" i="27" s="1"/>
  <c r="C23" i="43"/>
  <c r="C24" i="43" s="1"/>
  <c r="P91" i="131"/>
  <c r="P90" i="131"/>
  <c r="P89" i="131"/>
  <c r="P84" i="131"/>
  <c r="P83" i="131"/>
  <c r="P82" i="131"/>
  <c r="Q77" i="131"/>
  <c r="Q76" i="131"/>
  <c r="P75" i="131"/>
  <c r="P70" i="131"/>
  <c r="P69" i="131"/>
  <c r="P68" i="131"/>
  <c r="P63" i="131"/>
  <c r="P62" i="131"/>
  <c r="P61" i="131"/>
  <c r="P56" i="131"/>
  <c r="P55" i="131"/>
  <c r="P54" i="131"/>
  <c r="Q49" i="131"/>
  <c r="Q48" i="131"/>
  <c r="P47" i="131"/>
  <c r="P42" i="131"/>
  <c r="P41" i="131"/>
  <c r="P40" i="131"/>
  <c r="P35" i="131"/>
  <c r="Q34" i="131"/>
  <c r="Q33" i="131"/>
  <c r="BA27" i="131"/>
  <c r="AQ27" i="131"/>
  <c r="AF27" i="131"/>
  <c r="AG19" i="131"/>
  <c r="T19" i="131"/>
  <c r="AU19" i="131" s="1"/>
  <c r="AG17" i="131"/>
  <c r="BF17" i="131" s="1"/>
  <c r="T17" i="131"/>
  <c r="AH13" i="131"/>
  <c r="AW13" i="131" s="1"/>
  <c r="Z12" i="131"/>
  <c r="BK17" i="131" s="1"/>
  <c r="BS17" i="131" l="1"/>
  <c r="BK27" i="131"/>
  <c r="CZ27" i="131" s="1"/>
  <c r="Q104" i="131" s="1"/>
  <c r="BS19" i="131"/>
  <c r="BB13" i="131"/>
  <c r="AB69" i="131" s="1"/>
  <c r="AU17" i="131"/>
  <c r="BK19" i="131"/>
  <c r="AN13" i="131"/>
  <c r="BF19" i="131"/>
  <c r="CX27" i="131" l="1"/>
  <c r="R21" i="131"/>
  <c r="CY21" i="131" s="1"/>
  <c r="AK42" i="131"/>
  <c r="DA43" i="131" s="1"/>
  <c r="Y98" i="131" s="1"/>
  <c r="AJ89" i="131"/>
  <c r="AB49" i="131"/>
  <c r="AB77" i="131"/>
  <c r="AB40" i="131"/>
  <c r="AB83" i="131"/>
  <c r="AK55" i="131"/>
  <c r="CZ57" i="131" s="1"/>
  <c r="AK97" i="131" s="1"/>
  <c r="AB89" i="131"/>
  <c r="AB41" i="131"/>
  <c r="AB68" i="131"/>
  <c r="AB55" i="131"/>
  <c r="AL35" i="131"/>
  <c r="DA36" i="131" s="1"/>
  <c r="AJ40" i="131"/>
  <c r="CY43" i="131" s="1"/>
  <c r="Y96" i="131" s="1"/>
  <c r="AK49" i="131"/>
  <c r="DA50" i="131" s="1"/>
  <c r="AD98" i="131" s="1"/>
  <c r="AB48" i="131"/>
  <c r="AJ84" i="131"/>
  <c r="DA85" i="131" s="1"/>
  <c r="BL98" i="131" s="1"/>
  <c r="AC33" i="131"/>
  <c r="AB54" i="131"/>
  <c r="AC35" i="131"/>
  <c r="AK63" i="131"/>
  <c r="DA64" i="131" s="1"/>
  <c r="AS98" i="131" s="1"/>
  <c r="AB70" i="131"/>
  <c r="AJ82" i="131"/>
  <c r="CY85" i="131" s="1"/>
  <c r="BU96" i="131" s="1"/>
  <c r="AK41" i="131"/>
  <c r="CZ43" i="131" s="1"/>
  <c r="Y97" i="131" s="1"/>
  <c r="AJ61" i="131"/>
  <c r="AB82" i="131"/>
  <c r="AJ76" i="131"/>
  <c r="CZ78" i="131" s="1"/>
  <c r="BF97" i="131" s="1"/>
  <c r="AB62" i="131"/>
  <c r="AJ54" i="131"/>
  <c r="AK48" i="131"/>
  <c r="CZ50" i="131" s="1"/>
  <c r="AD97" i="131" s="1"/>
  <c r="AB91" i="131"/>
  <c r="AB76" i="131"/>
  <c r="AJ75" i="131"/>
  <c r="CY78" i="131" s="1"/>
  <c r="AJ91" i="131"/>
  <c r="DA92" i="131" s="1"/>
  <c r="BS98" i="131" s="1"/>
  <c r="AB90" i="131"/>
  <c r="AJ83" i="131"/>
  <c r="CZ85" i="131" s="1"/>
  <c r="BK97" i="131" s="1"/>
  <c r="AL34" i="131"/>
  <c r="CZ36" i="131" s="1"/>
  <c r="Q97" i="131" s="1"/>
  <c r="AB56" i="131"/>
  <c r="AB61" i="131"/>
  <c r="AL33" i="131"/>
  <c r="AJ68" i="131"/>
  <c r="AJ77" i="131"/>
  <c r="DA78" i="131" s="1"/>
  <c r="BE98" i="131" s="1"/>
  <c r="AJ90" i="131"/>
  <c r="CZ92" i="131" s="1"/>
  <c r="BR97" i="131" s="1"/>
  <c r="AB63" i="131"/>
  <c r="AC34" i="131"/>
  <c r="AB42" i="131"/>
  <c r="AK69" i="131"/>
  <c r="CZ71" i="131" s="1"/>
  <c r="AY97" i="131" s="1"/>
  <c r="AK70" i="131"/>
  <c r="DA71" i="131" s="1"/>
  <c r="AX98" i="131" s="1"/>
  <c r="AJ47" i="131"/>
  <c r="AF50" i="131" s="1"/>
  <c r="AB75" i="131"/>
  <c r="AB47" i="131"/>
  <c r="AB84" i="131"/>
  <c r="AK62" i="131"/>
  <c r="CZ64" i="131" s="1"/>
  <c r="AR97" i="131" s="1"/>
  <c r="AJ56" i="131"/>
  <c r="DA57" i="131" s="1"/>
  <c r="AK98" i="131" s="1"/>
  <c r="CY71" i="131"/>
  <c r="CY36" i="131"/>
  <c r="CY92" i="131"/>
  <c r="AF78" i="131"/>
  <c r="CY64" i="131"/>
  <c r="Q103" i="131"/>
  <c r="Q98" i="131"/>
  <c r="CY57" i="131"/>
  <c r="AF57" i="131" l="1"/>
  <c r="CY50" i="131"/>
  <c r="CX50" i="131" s="1"/>
  <c r="AF43" i="131"/>
  <c r="AF71" i="131"/>
  <c r="BZ97" i="131"/>
  <c r="CZ99" i="131" s="1"/>
  <c r="Y104" i="131" s="1"/>
  <c r="AE85" i="131"/>
  <c r="AF64" i="131"/>
  <c r="AF36" i="131"/>
  <c r="CX43" i="131"/>
  <c r="CA98" i="131"/>
  <c r="DA99" i="131" s="1"/>
  <c r="Q105" i="131" s="1"/>
  <c r="DA106" i="131" s="1"/>
  <c r="CX85" i="131"/>
  <c r="AE92" i="131"/>
  <c r="Q96" i="131"/>
  <c r="CX36" i="131"/>
  <c r="BM96" i="131"/>
  <c r="CX78" i="131"/>
  <c r="CC96" i="131"/>
  <c r="CX92" i="131"/>
  <c r="CX71" i="131"/>
  <c r="BE96" i="131"/>
  <c r="AG96" i="131"/>
  <c r="AO96" i="131"/>
  <c r="CX57" i="131"/>
  <c r="CX64" i="131"/>
  <c r="AW96" i="131"/>
  <c r="CL96" i="131" l="1"/>
  <c r="CY99" i="131" s="1"/>
  <c r="AH104" i="131"/>
  <c r="CZ106" i="131" s="1"/>
  <c r="DA4" i="131"/>
  <c r="H133" i="20"/>
  <c r="R99" i="131" l="1"/>
  <c r="CZ4" i="131"/>
  <c r="G133" i="20"/>
  <c r="Y103" i="131"/>
  <c r="CX99" i="131"/>
  <c r="AJ103" i="131"/>
  <c r="R106" i="131" l="1"/>
  <c r="CY106" i="131"/>
  <c r="F133" i="20" s="1"/>
  <c r="CY4" i="131" l="1"/>
  <c r="CX106" i="131"/>
  <c r="CX4" i="131" l="1"/>
  <c r="E133" i="20"/>
  <c r="K33" i="42"/>
  <c r="F276" i="4"/>
  <c r="F275" i="4"/>
  <c r="K30" i="42" l="1"/>
  <c r="K36" i="42"/>
  <c r="K35" i="42"/>
  <c r="K29" i="42"/>
  <c r="F675" i="19"/>
  <c r="L675" i="19"/>
  <c r="J675" i="19"/>
  <c r="H675" i="19"/>
  <c r="L674" i="19"/>
  <c r="H674" i="19"/>
  <c r="E673" i="19"/>
  <c r="E718" i="19" s="1"/>
  <c r="F282" i="4"/>
  <c r="I674" i="19" s="1"/>
  <c r="J674" i="19" s="1"/>
  <c r="D25" i="43"/>
  <c r="D26" i="43" s="1"/>
  <c r="D23" i="43"/>
  <c r="D24" i="43" s="1"/>
  <c r="B23" i="43"/>
  <c r="A25" i="43"/>
  <c r="A23" i="43"/>
  <c r="B25" i="43"/>
  <c r="F674" i="19" l="1"/>
  <c r="K34" i="42"/>
  <c r="D5" i="42"/>
  <c r="D3" i="42"/>
  <c r="C11" i="35"/>
  <c r="D2" i="42"/>
  <c r="C10" i="35" s="1"/>
  <c r="D9" i="42" l="1"/>
  <c r="E14" i="42" l="1"/>
  <c r="D27" i="42" l="1"/>
  <c r="K27" i="42" s="1"/>
  <c r="C25" i="43" s="1"/>
  <c r="C26" i="43" s="1"/>
  <c r="I47" i="19"/>
  <c r="E26" i="42"/>
  <c r="D26" i="42"/>
  <c r="K26" i="42" l="1"/>
  <c r="G10" i="27" s="1"/>
  <c r="H10" i="27" s="1"/>
  <c r="H11" i="27" s="1"/>
  <c r="F15" i="27" l="1"/>
  <c r="F14" i="27"/>
  <c r="B15" i="42"/>
  <c r="B11" i="43" s="1"/>
  <c r="H15" i="27" l="1"/>
  <c r="H14" i="27"/>
  <c r="F11" i="42"/>
  <c r="K11" i="42" s="1"/>
  <c r="F9" i="42"/>
  <c r="K9" i="42" s="1"/>
  <c r="D28" i="42" l="1"/>
  <c r="D16" i="42" l="1"/>
  <c r="D12" i="42"/>
  <c r="D13" i="42"/>
  <c r="K13" i="42" s="1"/>
  <c r="F5" i="42"/>
  <c r="F3" i="42"/>
  <c r="E21" i="35" l="1"/>
  <c r="K5" i="42"/>
  <c r="D10" i="42"/>
  <c r="E28" i="42"/>
  <c r="K28" i="42" s="1"/>
  <c r="D14" i="42"/>
  <c r="F16" i="42" l="1"/>
  <c r="F12" i="42"/>
  <c r="F10" i="42" l="1"/>
  <c r="F14" i="42" l="1"/>
  <c r="K14" i="42" s="1"/>
  <c r="K27" i="44" l="1"/>
  <c r="D11" i="43" l="1"/>
  <c r="D12" i="43" s="1"/>
  <c r="A11" i="43"/>
  <c r="E16" i="42" l="1"/>
  <c r="K16" i="42" s="1"/>
  <c r="E10" i="42"/>
  <c r="K10" i="42" s="1"/>
  <c r="C12" i="43" l="1"/>
  <c r="E12" i="42" l="1"/>
  <c r="K12" i="42" s="1"/>
  <c r="D7" i="126"/>
  <c r="K23" i="44" l="1"/>
  <c r="L671" i="19" l="1"/>
  <c r="J671" i="19"/>
  <c r="H671" i="19"/>
  <c r="L670" i="19"/>
  <c r="J670" i="19"/>
  <c r="H670" i="19"/>
  <c r="L669" i="19"/>
  <c r="I669" i="19"/>
  <c r="J669" i="19" s="1"/>
  <c r="H669" i="19"/>
  <c r="L672" i="19" l="1"/>
  <c r="H131" i="20" s="1"/>
  <c r="H672" i="19"/>
  <c r="F131" i="20" s="1"/>
  <c r="J672" i="19"/>
  <c r="G131" i="20" s="1"/>
  <c r="F669" i="19"/>
  <c r="F672" i="19" l="1"/>
  <c r="E131" i="20" s="1"/>
  <c r="G664" i="19" l="1"/>
  <c r="H664" i="19" s="1"/>
  <c r="G663" i="19"/>
  <c r="H663" i="19" s="1"/>
  <c r="K664" i="19"/>
  <c r="L664" i="19" s="1"/>
  <c r="I664" i="19"/>
  <c r="J664" i="19" s="1"/>
  <c r="K663" i="19"/>
  <c r="L663" i="19" s="1"/>
  <c r="I663" i="19"/>
  <c r="J663" i="19" s="1"/>
  <c r="F663" i="19" l="1"/>
  <c r="E663" i="19"/>
  <c r="E664" i="19"/>
  <c r="F664" i="19"/>
  <c r="K666" i="19" l="1"/>
  <c r="L666" i="19" s="1"/>
  <c r="E666" i="19" l="1"/>
  <c r="F666" i="19"/>
  <c r="L7" i="126"/>
  <c r="J7" i="126"/>
  <c r="J8" i="126" s="1"/>
  <c r="H7" i="126"/>
  <c r="H8" i="126" s="1"/>
  <c r="L5" i="126"/>
  <c r="L6" i="126" s="1"/>
  <c r="J5" i="126"/>
  <c r="J6" i="126" s="1"/>
  <c r="H5" i="126"/>
  <c r="I5" i="126" s="1"/>
  <c r="H6" i="126" l="1"/>
  <c r="F6" i="126" s="1"/>
  <c r="M7" i="126"/>
  <c r="K7" i="126"/>
  <c r="D8" i="126"/>
  <c r="I8" i="126" s="1"/>
  <c r="I7" i="126"/>
  <c r="D6" i="126"/>
  <c r="K6" i="126" s="1"/>
  <c r="K5" i="126"/>
  <c r="F7" i="126"/>
  <c r="M5" i="126"/>
  <c r="L8" i="126"/>
  <c r="F5" i="126"/>
  <c r="G5" i="126" l="1"/>
  <c r="K8" i="126"/>
  <c r="K21" i="126" s="1"/>
  <c r="K22" i="126" s="1"/>
  <c r="M8" i="126"/>
  <c r="I19" i="126"/>
  <c r="G7" i="126"/>
  <c r="M6" i="126"/>
  <c r="I6" i="126"/>
  <c r="F8" i="126"/>
  <c r="K19" i="126"/>
  <c r="K20" i="126" s="1"/>
  <c r="M19" i="126"/>
  <c r="M20" i="126" s="1"/>
  <c r="G6" i="126" l="1"/>
  <c r="G8" i="126"/>
  <c r="M21" i="126"/>
  <c r="M22" i="126" s="1"/>
  <c r="I20" i="126"/>
  <c r="G20" i="126" s="1"/>
  <c r="G19" i="126"/>
  <c r="I21" i="126"/>
  <c r="I22" i="126" l="1"/>
  <c r="G22" i="126" s="1"/>
  <c r="G21" i="126"/>
  <c r="G24" i="126"/>
  <c r="D24" i="44" s="1"/>
  <c r="F24" i="44" s="1"/>
  <c r="G23" i="126"/>
  <c r="G26" i="126" l="1"/>
  <c r="G24" i="44" s="1"/>
  <c r="I24" i="44" s="1"/>
  <c r="G25" i="126"/>
  <c r="I344" i="19" l="1"/>
  <c r="B7" i="43" l="1"/>
  <c r="B5" i="43"/>
  <c r="I164" i="19" l="1"/>
  <c r="J164" i="19" s="1"/>
  <c r="H164" i="19"/>
  <c r="D9" i="43"/>
  <c r="D7" i="43"/>
  <c r="D5" i="43"/>
  <c r="A9" i="43" l="1"/>
  <c r="A7" i="43"/>
  <c r="A5" i="43"/>
  <c r="G658" i="19" l="1"/>
  <c r="G657" i="19"/>
  <c r="K658" i="19"/>
  <c r="L658" i="19" s="1"/>
  <c r="I658" i="19"/>
  <c r="J658" i="19" s="1"/>
  <c r="K657" i="19"/>
  <c r="L657" i="19" s="1"/>
  <c r="I657" i="19"/>
  <c r="J657" i="19" s="1"/>
  <c r="E657" i="19" l="1"/>
  <c r="H657" i="19"/>
  <c r="F657" i="19" s="1"/>
  <c r="E658" i="19"/>
  <c r="H658" i="19"/>
  <c r="F658" i="19" s="1"/>
  <c r="E64" i="5"/>
  <c r="E62" i="5"/>
  <c r="E61" i="5"/>
  <c r="E60" i="5"/>
  <c r="E55" i="5"/>
  <c r="E38" i="5"/>
  <c r="K660" i="19" l="1"/>
  <c r="L660" i="19" s="1"/>
  <c r="E660" i="19" l="1"/>
  <c r="F660" i="19"/>
  <c r="I194" i="16" l="1"/>
  <c r="C118" i="15" s="1"/>
  <c r="L118" i="15" s="1"/>
  <c r="D194" i="16"/>
  <c r="J194" i="16" s="1"/>
  <c r="J118" i="15" l="1"/>
  <c r="G353" i="10"/>
  <c r="E353" i="10" s="1"/>
  <c r="G352" i="10"/>
  <c r="H352" i="10" s="1"/>
  <c r="J352" i="10"/>
  <c r="L352" i="10"/>
  <c r="J353" i="10"/>
  <c r="L353" i="10"/>
  <c r="F352" i="10" l="1"/>
  <c r="E352" i="10"/>
  <c r="H353" i="10"/>
  <c r="F353" i="10" s="1"/>
  <c r="D10" i="43" l="1"/>
  <c r="F1143" i="6" l="1"/>
  <c r="F39" i="7" s="1"/>
  <c r="E15" i="14" s="1"/>
  <c r="E16" i="14" s="1"/>
  <c r="E17" i="14" s="1"/>
  <c r="E18" i="14" s="1"/>
  <c r="E19" i="14" s="1"/>
  <c r="E20" i="14" s="1"/>
  <c r="E21" i="14" s="1"/>
  <c r="E22" i="14" s="1"/>
  <c r="E23" i="14" s="1"/>
  <c r="E24" i="14" s="1"/>
  <c r="E25" i="14" s="1"/>
  <c r="E26" i="14" s="1"/>
  <c r="E27" i="14" s="1"/>
  <c r="E28" i="14" s="1"/>
  <c r="E29" i="14" s="1"/>
  <c r="E30" i="14" s="1"/>
  <c r="E31" i="14" s="1"/>
  <c r="E32" i="14" s="1"/>
  <c r="E33" i="14" s="1"/>
  <c r="E34" i="14" s="1"/>
  <c r="G1131" i="6"/>
  <c r="U1131" i="6" s="1"/>
  <c r="E1131" i="6" s="1"/>
  <c r="F1131" i="6" s="1"/>
  <c r="G1129" i="6"/>
  <c r="U1129" i="6" s="1"/>
  <c r="E1129" i="6" s="1"/>
  <c r="F1129" i="6" s="1"/>
  <c r="G1127" i="6"/>
  <c r="U1127" i="6" s="1"/>
  <c r="I192" i="16"/>
  <c r="C109" i="15" s="1"/>
  <c r="J109" i="15" s="1"/>
  <c r="D192" i="16"/>
  <c r="J192" i="16" s="1"/>
  <c r="I191" i="16"/>
  <c r="C104" i="15" s="1"/>
  <c r="J104" i="15" s="1"/>
  <c r="D191" i="16"/>
  <c r="J191" i="16" s="1"/>
  <c r="I190" i="16"/>
  <c r="C99" i="15" s="1"/>
  <c r="L99" i="15" s="1"/>
  <c r="D190" i="16"/>
  <c r="I189" i="16"/>
  <c r="C94" i="15" s="1"/>
  <c r="L94" i="15" s="1"/>
  <c r="D189" i="16"/>
  <c r="J189" i="16" s="1"/>
  <c r="I188" i="16"/>
  <c r="C89" i="15" s="1"/>
  <c r="J89" i="15" s="1"/>
  <c r="D188" i="16"/>
  <c r="J188" i="16" s="1"/>
  <c r="I187" i="16"/>
  <c r="C84" i="15" s="1"/>
  <c r="D187" i="16"/>
  <c r="J187" i="16" s="1"/>
  <c r="I186" i="16"/>
  <c r="C79" i="15" s="1"/>
  <c r="D186" i="16"/>
  <c r="J186" i="16" s="1"/>
  <c r="I185" i="16"/>
  <c r="C74" i="15" s="1"/>
  <c r="D185" i="16"/>
  <c r="J185" i="16" s="1"/>
  <c r="I184" i="16"/>
  <c r="C69" i="15" s="1"/>
  <c r="D184" i="16"/>
  <c r="J184" i="16" s="1"/>
  <c r="C71" i="15" s="1"/>
  <c r="I183" i="16"/>
  <c r="C64" i="15" s="1"/>
  <c r="D183" i="16"/>
  <c r="I182" i="16"/>
  <c r="C59" i="15" s="1"/>
  <c r="D182" i="16"/>
  <c r="J182" i="16" s="1"/>
  <c r="C61" i="15" s="1"/>
  <c r="I181" i="16"/>
  <c r="C54" i="15" s="1"/>
  <c r="D181" i="16"/>
  <c r="J181" i="16" s="1"/>
  <c r="C56" i="15" s="1"/>
  <c r="F177" i="16"/>
  <c r="E182" i="16" s="1"/>
  <c r="E183" i="16" s="1"/>
  <c r="E184" i="16" s="1"/>
  <c r="L109" i="15" l="1"/>
  <c r="L74" i="15"/>
  <c r="F1127" i="6"/>
  <c r="F1133" i="6" s="1"/>
  <c r="D39" i="7" s="1"/>
  <c r="C15" i="14" s="1"/>
  <c r="C16" i="14" s="1"/>
  <c r="C17" i="14" s="1"/>
  <c r="C18" i="14" s="1"/>
  <c r="C19" i="14" s="1"/>
  <c r="C20" i="14" s="1"/>
  <c r="C21" i="14" s="1"/>
  <c r="C22" i="14" s="1"/>
  <c r="C23" i="14" s="1"/>
  <c r="C24" i="14" s="1"/>
  <c r="C25" i="14" s="1"/>
  <c r="C26" i="14" s="1"/>
  <c r="C27" i="14" s="1"/>
  <c r="C28" i="14" s="1"/>
  <c r="C29" i="14" s="1"/>
  <c r="C30" i="14" s="1"/>
  <c r="C31" i="14" s="1"/>
  <c r="C32" i="14" s="1"/>
  <c r="C33" i="14" s="1"/>
  <c r="C34" i="14" s="1"/>
  <c r="E1127" i="6"/>
  <c r="H183" i="16"/>
  <c r="H184" i="16"/>
  <c r="E185" i="16"/>
  <c r="H182" i="16"/>
  <c r="E181" i="16"/>
  <c r="H181" i="16" s="1"/>
  <c r="J190" i="16"/>
  <c r="J183" i="16"/>
  <c r="C66" i="15" s="1"/>
  <c r="L104" i="15"/>
  <c r="J94" i="15"/>
  <c r="J99" i="15"/>
  <c r="L89" i="15"/>
  <c r="J74" i="15"/>
  <c r="G349" i="19"/>
  <c r="G355" i="19" s="1"/>
  <c r="E186" i="16" l="1"/>
  <c r="H185" i="16"/>
  <c r="I584" i="19"/>
  <c r="E584" i="19" s="1"/>
  <c r="E187" i="16" l="1"/>
  <c r="H186" i="16"/>
  <c r="J584" i="19"/>
  <c r="F584" i="19" s="1"/>
  <c r="E188" i="16" l="1"/>
  <c r="H187" i="16"/>
  <c r="E189" i="16" l="1"/>
  <c r="H188" i="16"/>
  <c r="D8" i="43"/>
  <c r="E190" i="16" l="1"/>
  <c r="H189" i="16"/>
  <c r="E191" i="16" l="1"/>
  <c r="H190" i="16"/>
  <c r="G652" i="19"/>
  <c r="G651" i="19"/>
  <c r="H651" i="19" s="1"/>
  <c r="K652" i="19"/>
  <c r="L652" i="19" s="1"/>
  <c r="I652" i="19"/>
  <c r="J652" i="19" s="1"/>
  <c r="K651" i="19"/>
  <c r="L651" i="19" s="1"/>
  <c r="I651" i="19"/>
  <c r="J651" i="19" s="1"/>
  <c r="E192" i="16" l="1"/>
  <c r="H191" i="16"/>
  <c r="E652" i="19"/>
  <c r="J654" i="19"/>
  <c r="I648" i="19" s="1"/>
  <c r="H652" i="19"/>
  <c r="H654" i="19" s="1"/>
  <c r="F651" i="19"/>
  <c r="E651" i="19"/>
  <c r="C5" i="43" l="1"/>
  <c r="H192" i="16"/>
  <c r="E193" i="16"/>
  <c r="J648" i="19"/>
  <c r="I640" i="19"/>
  <c r="G128" i="20"/>
  <c r="D6" i="43"/>
  <c r="F128" i="20"/>
  <c r="G648" i="19"/>
  <c r="G640" i="19" s="1"/>
  <c r="F652" i="19"/>
  <c r="K653" i="19" s="1"/>
  <c r="E194" i="16" l="1"/>
  <c r="H193" i="16"/>
  <c r="J193" i="16" s="1"/>
  <c r="L653" i="19"/>
  <c r="E653" i="19"/>
  <c r="H648" i="19"/>
  <c r="G121" i="19"/>
  <c r="G120" i="19"/>
  <c r="H120" i="19" s="1"/>
  <c r="C632" i="19"/>
  <c r="C622" i="19"/>
  <c r="I632" i="19"/>
  <c r="J631" i="19"/>
  <c r="F631" i="19" s="1"/>
  <c r="E631" i="19"/>
  <c r="J630" i="19"/>
  <c r="F630" i="19" s="1"/>
  <c r="E630" i="19"/>
  <c r="E629" i="19"/>
  <c r="J629" i="19"/>
  <c r="F629" i="19" s="1"/>
  <c r="J628" i="19"/>
  <c r="F628" i="19" s="1"/>
  <c r="E628" i="19"/>
  <c r="J627" i="19"/>
  <c r="F627" i="19" s="1"/>
  <c r="E627" i="19"/>
  <c r="E626" i="19"/>
  <c r="J626" i="19"/>
  <c r="F626" i="19" s="1"/>
  <c r="J625" i="19"/>
  <c r="F625" i="19" s="1"/>
  <c r="E625" i="19"/>
  <c r="J621" i="19"/>
  <c r="F621" i="19" s="1"/>
  <c r="E621" i="19"/>
  <c r="J620" i="19"/>
  <c r="F620" i="19" s="1"/>
  <c r="E620" i="19"/>
  <c r="E619" i="19"/>
  <c r="J619" i="19"/>
  <c r="F619" i="19" s="1"/>
  <c r="E618" i="19"/>
  <c r="J618" i="19"/>
  <c r="F618" i="19" s="1"/>
  <c r="E617" i="19"/>
  <c r="J617" i="19"/>
  <c r="F617" i="19" s="1"/>
  <c r="E616" i="19"/>
  <c r="J616" i="19"/>
  <c r="F616" i="19" s="1"/>
  <c r="E615" i="19"/>
  <c r="J615" i="19"/>
  <c r="F615" i="19" s="1"/>
  <c r="E195" i="16" l="1"/>
  <c r="H194" i="16"/>
  <c r="F653" i="19"/>
  <c r="L654" i="19"/>
  <c r="F120" i="19"/>
  <c r="J632" i="19"/>
  <c r="J633" i="19" s="1"/>
  <c r="G125" i="20" s="1"/>
  <c r="J622" i="19"/>
  <c r="J623" i="19" s="1"/>
  <c r="G124" i="20" s="1"/>
  <c r="L79" i="15" l="1"/>
  <c r="J79" i="15"/>
  <c r="H195" i="16"/>
  <c r="J195" i="16" s="1"/>
  <c r="E196" i="16"/>
  <c r="H128" i="20"/>
  <c r="E128" i="20" s="1"/>
  <c r="F654" i="19"/>
  <c r="K648" i="19"/>
  <c r="K640" i="19" s="1"/>
  <c r="L640" i="19" s="1"/>
  <c r="C9" i="43"/>
  <c r="D25" i="44" l="1"/>
  <c r="C7" i="43"/>
  <c r="H196" i="16"/>
  <c r="J196" i="16" s="1"/>
  <c r="E197" i="16"/>
  <c r="L648" i="19"/>
  <c r="F648" i="19" s="1"/>
  <c r="E648" i="19"/>
  <c r="I339" i="19"/>
  <c r="F25" i="44" l="1"/>
  <c r="E198" i="16"/>
  <c r="H197" i="16"/>
  <c r="J197" i="16" s="1"/>
  <c r="E199" i="16" l="1"/>
  <c r="H198" i="16"/>
  <c r="J198" i="16" s="1"/>
  <c r="H199" i="16" l="1"/>
  <c r="J199" i="16" s="1"/>
  <c r="E200" i="16"/>
  <c r="H200" i="16" l="1"/>
  <c r="J200" i="16" s="1"/>
  <c r="E201" i="16"/>
  <c r="H201" i="16" s="1"/>
  <c r="J201" i="16" s="1"/>
  <c r="J84" i="15"/>
  <c r="L84" i="15"/>
  <c r="G611" i="19" l="1"/>
  <c r="J612" i="19"/>
  <c r="G612" i="19"/>
  <c r="L611" i="19"/>
  <c r="J611" i="19"/>
  <c r="B71" i="20"/>
  <c r="G346" i="19"/>
  <c r="H346" i="19" s="1"/>
  <c r="G345" i="19"/>
  <c r="H345" i="19" s="1"/>
  <c r="J344" i="19"/>
  <c r="L346" i="19"/>
  <c r="J346" i="19"/>
  <c r="L345" i="19"/>
  <c r="J345" i="19"/>
  <c r="L344" i="19"/>
  <c r="H344" i="19"/>
  <c r="B30" i="13"/>
  <c r="I114" i="19"/>
  <c r="I109" i="19"/>
  <c r="I104" i="19"/>
  <c r="H612" i="19" l="1"/>
  <c r="G632" i="19"/>
  <c r="F345" i="19"/>
  <c r="E344" i="19"/>
  <c r="H611" i="19"/>
  <c r="H613" i="19" s="1"/>
  <c r="L347" i="19"/>
  <c r="H71" i="20" s="1"/>
  <c r="J613" i="19"/>
  <c r="G123" i="20" s="1"/>
  <c r="F344" i="19"/>
  <c r="F346" i="19"/>
  <c r="E611" i="19"/>
  <c r="E346" i="19"/>
  <c r="H347" i="19"/>
  <c r="F71" i="20" s="1"/>
  <c r="J347" i="19"/>
  <c r="E345" i="19"/>
  <c r="H632" i="19" l="1"/>
  <c r="F611" i="19"/>
  <c r="K612" i="19" s="1"/>
  <c r="E612" i="19" s="1"/>
  <c r="H622" i="19"/>
  <c r="F123" i="20"/>
  <c r="F347" i="19"/>
  <c r="G71" i="20"/>
  <c r="B122" i="20"/>
  <c r="B121" i="20"/>
  <c r="G607" i="19"/>
  <c r="H607" i="19" s="1"/>
  <c r="G606" i="19"/>
  <c r="H606" i="19" s="1"/>
  <c r="L607" i="19"/>
  <c r="J607" i="19"/>
  <c r="L606" i="19"/>
  <c r="J606" i="19"/>
  <c r="G600" i="19"/>
  <c r="E600" i="19" s="1"/>
  <c r="G599" i="19"/>
  <c r="E599" i="19" s="1"/>
  <c r="L601" i="19"/>
  <c r="J601" i="19"/>
  <c r="G601" i="19"/>
  <c r="E601" i="19" s="1"/>
  <c r="L600" i="19"/>
  <c r="J600" i="19"/>
  <c r="L599" i="19"/>
  <c r="J599" i="19"/>
  <c r="G598" i="19"/>
  <c r="L598" i="19"/>
  <c r="J598" i="19"/>
  <c r="G588" i="19"/>
  <c r="J589" i="19"/>
  <c r="L588" i="19"/>
  <c r="I588" i="19"/>
  <c r="J588" i="19" s="1"/>
  <c r="I594" i="19"/>
  <c r="J594" i="19" s="1"/>
  <c r="L594" i="19"/>
  <c r="G593" i="19"/>
  <c r="G592" i="19"/>
  <c r="H633" i="19" l="1"/>
  <c r="F125" i="20" s="1"/>
  <c r="H623" i="19"/>
  <c r="F124" i="20" s="1"/>
  <c r="L612" i="19"/>
  <c r="K632" i="19"/>
  <c r="H598" i="19"/>
  <c r="F598" i="19" s="1"/>
  <c r="E71" i="20"/>
  <c r="J590" i="19"/>
  <c r="I579" i="19" s="1"/>
  <c r="H601" i="19"/>
  <c r="F601" i="19" s="1"/>
  <c r="E606" i="19"/>
  <c r="F607" i="19"/>
  <c r="F606" i="19"/>
  <c r="E607" i="19"/>
  <c r="H599" i="19"/>
  <c r="H600" i="19"/>
  <c r="F600" i="19" s="1"/>
  <c r="E598" i="19"/>
  <c r="E588" i="19"/>
  <c r="H588" i="19"/>
  <c r="G589" i="19"/>
  <c r="E594" i="19"/>
  <c r="H594" i="19"/>
  <c r="F594" i="19" s="1"/>
  <c r="L632" i="19" l="1"/>
  <c r="E632" i="19"/>
  <c r="L622" i="19"/>
  <c r="E622" i="19"/>
  <c r="L613" i="19"/>
  <c r="F612" i="19"/>
  <c r="F599" i="19"/>
  <c r="H589" i="19"/>
  <c r="H590" i="19" s="1"/>
  <c r="G579" i="19" s="1"/>
  <c r="K589" i="19"/>
  <c r="L589" i="19" s="1"/>
  <c r="L590" i="19" s="1"/>
  <c r="K579" i="19" s="1"/>
  <c r="F588" i="19"/>
  <c r="L633" i="19" l="1"/>
  <c r="H125" i="20" s="1"/>
  <c r="F632" i="19"/>
  <c r="F633" i="19" s="1"/>
  <c r="H123" i="20"/>
  <c r="F613" i="19"/>
  <c r="L623" i="19"/>
  <c r="H124" i="20" s="1"/>
  <c r="F622" i="19"/>
  <c r="F623" i="19" s="1"/>
  <c r="E589" i="19"/>
  <c r="F590" i="19"/>
  <c r="F589" i="19"/>
  <c r="E124" i="20" l="1"/>
  <c r="E125" i="20"/>
  <c r="E123" i="20"/>
  <c r="L79" i="10" l="1"/>
  <c r="J79" i="10"/>
  <c r="L78" i="10"/>
  <c r="J78" i="10"/>
  <c r="E77" i="10"/>
  <c r="L71" i="10"/>
  <c r="H71" i="10"/>
  <c r="L52" i="19"/>
  <c r="H52" i="19"/>
  <c r="H51" i="19"/>
  <c r="I51" i="19"/>
  <c r="J51" i="19" s="1"/>
  <c r="L51" i="19"/>
  <c r="C6" i="43" l="1"/>
  <c r="F51" i="19"/>
  <c r="E51" i="19"/>
  <c r="C10" i="43"/>
  <c r="J80" i="10"/>
  <c r="G20" i="11" s="1"/>
  <c r="L80" i="10"/>
  <c r="H20" i="11" s="1"/>
  <c r="I8" i="8"/>
  <c r="C8" i="43" l="1"/>
  <c r="H102" i="17"/>
  <c r="F18" i="18" s="1"/>
  <c r="H96" i="17"/>
  <c r="G25" i="44" l="1"/>
  <c r="G583" i="19"/>
  <c r="J585" i="19"/>
  <c r="L583" i="19"/>
  <c r="I583" i="19"/>
  <c r="J583" i="19" s="1"/>
  <c r="I25" i="44" l="1"/>
  <c r="J586" i="19"/>
  <c r="G119" i="20" s="1"/>
  <c r="E583" i="19"/>
  <c r="G585" i="19"/>
  <c r="H583" i="19"/>
  <c r="H667" i="6"/>
  <c r="F667" i="6" s="1"/>
  <c r="G382" i="10"/>
  <c r="G380" i="10"/>
  <c r="G381" i="10"/>
  <c r="H381" i="10" s="1"/>
  <c r="K381" i="10"/>
  <c r="L381" i="10" s="1"/>
  <c r="I381" i="10"/>
  <c r="J381" i="10" s="1"/>
  <c r="F381" i="10" l="1"/>
  <c r="K585" i="19"/>
  <c r="L585" i="19" s="1"/>
  <c r="L586" i="19" s="1"/>
  <c r="H119" i="20" s="1"/>
  <c r="F583" i="19"/>
  <c r="H585" i="19"/>
  <c r="E381" i="10"/>
  <c r="F585" i="19" l="1"/>
  <c r="E585" i="19"/>
  <c r="H586" i="19"/>
  <c r="F586" i="19" l="1"/>
  <c r="F119" i="20"/>
  <c r="E119" i="20" l="1"/>
  <c r="G575" i="19" l="1"/>
  <c r="B120" i="20" l="1"/>
  <c r="B118" i="20"/>
  <c r="B117" i="20"/>
  <c r="J595" i="19"/>
  <c r="H595" i="19"/>
  <c r="L593" i="19"/>
  <c r="J593" i="19"/>
  <c r="L592" i="19"/>
  <c r="J592" i="19"/>
  <c r="L579" i="19"/>
  <c r="J579" i="19"/>
  <c r="L575" i="19"/>
  <c r="J575" i="19"/>
  <c r="J596" i="19" l="1"/>
  <c r="J576" i="19"/>
  <c r="G117" i="20" s="1"/>
  <c r="G120" i="20" l="1"/>
  <c r="I580" i="19"/>
  <c r="J580" i="19" s="1"/>
  <c r="H592" i="19"/>
  <c r="F592" i="19" s="1"/>
  <c r="E592" i="19" l="1"/>
  <c r="E8" i="10" l="1"/>
  <c r="H428" i="19" l="1"/>
  <c r="J428" i="19"/>
  <c r="I422" i="19"/>
  <c r="J422" i="19" s="1"/>
  <c r="F1111" i="6" l="1"/>
  <c r="F35" i="7" s="1"/>
  <c r="F1103" i="6"/>
  <c r="E1105" i="6" s="1"/>
  <c r="F1105" i="6" s="1"/>
  <c r="F1109" i="6" s="1"/>
  <c r="F1099" i="6"/>
  <c r="F1097" i="6"/>
  <c r="F1095" i="6"/>
  <c r="F1101" i="6" l="1"/>
  <c r="F1122" i="6" s="1"/>
  <c r="E159" i="19" l="1"/>
  <c r="H159" i="19"/>
  <c r="J159" i="19"/>
  <c r="L159" i="19"/>
  <c r="F159" i="19" l="1"/>
  <c r="B116" i="20" l="1"/>
  <c r="G571" i="19"/>
  <c r="J572" i="19"/>
  <c r="L571" i="19"/>
  <c r="I571" i="19"/>
  <c r="J571" i="19" s="1"/>
  <c r="H571" i="19" l="1"/>
  <c r="K572" i="19" s="1"/>
  <c r="L572" i="19" s="1"/>
  <c r="L573" i="19" s="1"/>
  <c r="J573" i="19"/>
  <c r="E571" i="19"/>
  <c r="G572" i="19"/>
  <c r="H1047" i="6"/>
  <c r="F1047" i="6" s="1"/>
  <c r="F1079" i="6"/>
  <c r="F1071" i="6"/>
  <c r="E1073" i="6" s="1"/>
  <c r="F1073" i="6" s="1"/>
  <c r="F1077" i="6" s="1"/>
  <c r="F1067" i="6"/>
  <c r="F1065" i="6"/>
  <c r="F1063" i="6"/>
  <c r="F1039" i="6"/>
  <c r="E1041" i="6" s="1"/>
  <c r="F1041" i="6" s="1"/>
  <c r="F1045" i="6" s="1"/>
  <c r="F1035" i="6"/>
  <c r="F1033" i="6"/>
  <c r="F1031" i="6"/>
  <c r="F1003" i="6"/>
  <c r="F1001" i="6"/>
  <c r="F999" i="6"/>
  <c r="H1015" i="6"/>
  <c r="F1015" i="6" s="1"/>
  <c r="G116" i="20" l="1"/>
  <c r="I578" i="19"/>
  <c r="J578" i="19" s="1"/>
  <c r="J581" i="19" s="1"/>
  <c r="G118" i="20" s="1"/>
  <c r="H116" i="20"/>
  <c r="K578" i="19"/>
  <c r="L578" i="19" s="1"/>
  <c r="H593" i="19"/>
  <c r="F571" i="19"/>
  <c r="E579" i="19"/>
  <c r="H579" i="19"/>
  <c r="H575" i="19"/>
  <c r="E575" i="19"/>
  <c r="F1005" i="6"/>
  <c r="F1037" i="6"/>
  <c r="F1058" i="6" s="1"/>
  <c r="F1069" i="6"/>
  <c r="F1090" i="6" s="1"/>
  <c r="H572" i="19"/>
  <c r="E572" i="19"/>
  <c r="E593" i="19" l="1"/>
  <c r="F593" i="19"/>
  <c r="K595" i="19" s="1"/>
  <c r="H596" i="19"/>
  <c r="F579" i="19"/>
  <c r="F575" i="19"/>
  <c r="H576" i="19"/>
  <c r="F117" i="20" s="1"/>
  <c r="F572" i="19"/>
  <c r="H573" i="19"/>
  <c r="G578" i="19" s="1"/>
  <c r="F120" i="20" l="1"/>
  <c r="G580" i="19"/>
  <c r="E578" i="19"/>
  <c r="H578" i="19"/>
  <c r="L595" i="19"/>
  <c r="E595" i="19"/>
  <c r="F573" i="19"/>
  <c r="F116" i="20"/>
  <c r="E115" i="20"/>
  <c r="B115" i="20"/>
  <c r="F578" i="19" l="1"/>
  <c r="H580" i="19"/>
  <c r="F595" i="19"/>
  <c r="L596" i="19"/>
  <c r="K580" i="19" s="1"/>
  <c r="L580" i="19" s="1"/>
  <c r="L581" i="19" s="1"/>
  <c r="L576" i="19"/>
  <c r="E116" i="20"/>
  <c r="F580" i="19" l="1"/>
  <c r="E580" i="19"/>
  <c r="H581" i="19"/>
  <c r="F118" i="20" s="1"/>
  <c r="F576" i="19"/>
  <c r="H117" i="20"/>
  <c r="F596" i="19"/>
  <c r="H120" i="20"/>
  <c r="H118" i="20"/>
  <c r="E118" i="20" l="1"/>
  <c r="F581" i="19"/>
  <c r="E120" i="20"/>
  <c r="E117" i="20"/>
  <c r="C11" i="52" l="1"/>
  <c r="B11" i="52"/>
  <c r="D19" i="52" l="1"/>
  <c r="I560" i="19" l="1"/>
  <c r="J560" i="19" s="1"/>
  <c r="I559" i="19"/>
  <c r="J559" i="19" s="1"/>
  <c r="I565" i="19"/>
  <c r="J565" i="19" s="1"/>
  <c r="G567" i="19"/>
  <c r="G566" i="19"/>
  <c r="H566" i="19" s="1"/>
  <c r="H565" i="19"/>
  <c r="L565" i="19"/>
  <c r="I566" i="19"/>
  <c r="J566" i="19" s="1"/>
  <c r="L566" i="19"/>
  <c r="I567" i="19"/>
  <c r="J567" i="19" s="1"/>
  <c r="L567" i="19"/>
  <c r="H568" i="19"/>
  <c r="I568" i="19"/>
  <c r="E568" i="19" s="1"/>
  <c r="L568" i="19"/>
  <c r="L564" i="19"/>
  <c r="I564" i="19"/>
  <c r="J564" i="19" s="1"/>
  <c r="H564" i="19"/>
  <c r="L560" i="19"/>
  <c r="L559" i="19"/>
  <c r="H559" i="19"/>
  <c r="I51" i="15"/>
  <c r="E51" i="15" s="1"/>
  <c r="I555" i="19"/>
  <c r="J555" i="19" s="1"/>
  <c r="G556" i="19" s="1"/>
  <c r="E556" i="19" s="1"/>
  <c r="I551" i="19"/>
  <c r="J551" i="19" s="1"/>
  <c r="G552" i="19" s="1"/>
  <c r="H552" i="19" s="1"/>
  <c r="L556" i="19"/>
  <c r="J556" i="19"/>
  <c r="L555" i="19"/>
  <c r="H555" i="19"/>
  <c r="L552" i="19"/>
  <c r="J552" i="19"/>
  <c r="L551" i="19"/>
  <c r="H551" i="19"/>
  <c r="J109" i="19"/>
  <c r="F109" i="19" s="1"/>
  <c r="E114" i="19"/>
  <c r="J436" i="10"/>
  <c r="H436" i="10"/>
  <c r="K435" i="10"/>
  <c r="L435" i="10" s="1"/>
  <c r="J435" i="10"/>
  <c r="L434" i="10"/>
  <c r="J434" i="10"/>
  <c r="L243" i="19"/>
  <c r="J243" i="19"/>
  <c r="H243" i="19"/>
  <c r="E243" i="19"/>
  <c r="L253" i="19"/>
  <c r="J253" i="19"/>
  <c r="H253" i="19"/>
  <c r="E253" i="19"/>
  <c r="J448" i="10"/>
  <c r="H448" i="10"/>
  <c r="K447" i="10"/>
  <c r="L447" i="10" s="1"/>
  <c r="J447" i="10"/>
  <c r="L446" i="10"/>
  <c r="J446" i="10"/>
  <c r="L235" i="19"/>
  <c r="J235" i="19"/>
  <c r="H235" i="19"/>
  <c r="E235" i="19"/>
  <c r="L545" i="19"/>
  <c r="J545" i="19"/>
  <c r="H545" i="19"/>
  <c r="E545" i="19"/>
  <c r="K543" i="19"/>
  <c r="I543" i="19"/>
  <c r="J543" i="19" s="1"/>
  <c r="G543" i="19"/>
  <c r="H543" i="19" s="1"/>
  <c r="F4" i="22"/>
  <c r="C4" i="12" s="1"/>
  <c r="G4" i="22"/>
  <c r="J4" i="22"/>
  <c r="F5" i="22"/>
  <c r="C5" i="12" s="1"/>
  <c r="G5" i="22"/>
  <c r="J5" i="22"/>
  <c r="F6" i="22"/>
  <c r="G6" i="22"/>
  <c r="J6" i="22"/>
  <c r="F7" i="22"/>
  <c r="G7" i="22"/>
  <c r="K7" i="22" s="1"/>
  <c r="F8" i="22"/>
  <c r="G8" i="22"/>
  <c r="K8" i="22" s="1"/>
  <c r="F152" i="16" s="1"/>
  <c r="F157" i="16" s="1"/>
  <c r="F9" i="22"/>
  <c r="G9" i="22"/>
  <c r="K9" i="22" s="1"/>
  <c r="F10" i="22"/>
  <c r="G10" i="22"/>
  <c r="J10" i="22"/>
  <c r="F11" i="22"/>
  <c r="C6" i="12" s="1"/>
  <c r="G11" i="22"/>
  <c r="J11" i="22"/>
  <c r="F12" i="22"/>
  <c r="C7" i="12" s="1"/>
  <c r="G12" i="22"/>
  <c r="J12" i="22"/>
  <c r="F13" i="22"/>
  <c r="C9" i="12" s="1"/>
  <c r="G13" i="22"/>
  <c r="J13" i="22"/>
  <c r="F14" i="22"/>
  <c r="H290" i="17" s="1"/>
  <c r="G14" i="22"/>
  <c r="J14" i="22"/>
  <c r="G4" i="12"/>
  <c r="K9" i="15" s="1"/>
  <c r="E9" i="15" s="1"/>
  <c r="G5" i="12"/>
  <c r="G6" i="12"/>
  <c r="G7" i="12"/>
  <c r="G8" i="12"/>
  <c r="G9" i="12"/>
  <c r="G10" i="12"/>
  <c r="G11" i="12"/>
  <c r="G12" i="12"/>
  <c r="G13" i="12"/>
  <c r="G14" i="12"/>
  <c r="G15" i="12"/>
  <c r="F24" i="6"/>
  <c r="F4" i="7" s="1"/>
  <c r="E36" i="18" s="1"/>
  <c r="F793" i="6"/>
  <c r="F30" i="7" s="1"/>
  <c r="F282" i="6"/>
  <c r="F12" i="7" s="1"/>
  <c r="F313" i="6"/>
  <c r="F505" i="6"/>
  <c r="F19" i="7" s="1"/>
  <c r="K608" i="19" s="1"/>
  <c r="L608" i="19" s="1"/>
  <c r="L609" i="19" s="1"/>
  <c r="H122" i="20" s="1"/>
  <c r="F567" i="6"/>
  <c r="F21" i="7" s="1"/>
  <c r="F599" i="6"/>
  <c r="F22" i="7" s="1"/>
  <c r="E10" i="9" s="1"/>
  <c r="F535" i="6"/>
  <c r="F20" i="7" s="1"/>
  <c r="H983" i="6"/>
  <c r="F983" i="6" s="1"/>
  <c r="G5" i="6"/>
  <c r="U5" i="6" s="1"/>
  <c r="E5" i="6" s="1"/>
  <c r="K7" i="6"/>
  <c r="K9" i="6" s="1"/>
  <c r="M7" i="6"/>
  <c r="M9" i="6" s="1"/>
  <c r="O7" i="6"/>
  <c r="O9" i="6" s="1"/>
  <c r="Q7" i="6"/>
  <c r="Q9" i="6" s="1"/>
  <c r="S7" i="6"/>
  <c r="S9" i="6" s="1"/>
  <c r="E13" i="6"/>
  <c r="F13" i="6" s="1"/>
  <c r="E15" i="6" s="1"/>
  <c r="F15" i="6" s="1"/>
  <c r="F22" i="6" s="1"/>
  <c r="G37" i="6"/>
  <c r="U37" i="6" s="1"/>
  <c r="F37" i="6" s="1"/>
  <c r="K39" i="6"/>
  <c r="K73" i="6" s="1"/>
  <c r="M39" i="6"/>
  <c r="O39" i="6"/>
  <c r="O73" i="6" s="1"/>
  <c r="O105" i="6" s="1"/>
  <c r="O137" i="6" s="1"/>
  <c r="O169" i="6" s="1"/>
  <c r="Q39" i="6"/>
  <c r="Q73" i="6" s="1"/>
  <c r="Q105" i="6" s="1"/>
  <c r="Q137" i="6" s="1"/>
  <c r="Q169" i="6" s="1"/>
  <c r="S39" i="6"/>
  <c r="S73" i="6" s="1"/>
  <c r="S105" i="6" s="1"/>
  <c r="S137" i="6" s="1"/>
  <c r="S169" i="6" s="1"/>
  <c r="E45" i="6"/>
  <c r="F45" i="6" s="1"/>
  <c r="E47" i="6" s="1"/>
  <c r="F47" i="6" s="1"/>
  <c r="F54" i="6" s="1"/>
  <c r="E5" i="7" s="1"/>
  <c r="F56" i="6"/>
  <c r="F5" i="7" s="1"/>
  <c r="G71" i="6"/>
  <c r="K71" i="6"/>
  <c r="K103" i="6" s="1"/>
  <c r="M71" i="6"/>
  <c r="M103" i="6" s="1"/>
  <c r="M135" i="6" s="1"/>
  <c r="M167" i="6" s="1"/>
  <c r="O71" i="6"/>
  <c r="O103" i="6" s="1"/>
  <c r="O135" i="6" s="1"/>
  <c r="O167" i="6" s="1"/>
  <c r="Q71" i="6"/>
  <c r="Q103" i="6" s="1"/>
  <c r="Q135" i="6" s="1"/>
  <c r="Q167" i="6" s="1"/>
  <c r="S71" i="6"/>
  <c r="S103" i="6" s="1"/>
  <c r="S135" i="6" s="1"/>
  <c r="S167" i="6" s="1"/>
  <c r="E79" i="6"/>
  <c r="F79" i="6" s="1"/>
  <c r="E81" i="6" s="1"/>
  <c r="F81" i="6" s="1"/>
  <c r="F87" i="6" s="1"/>
  <c r="E6" i="7" s="1"/>
  <c r="D9" i="18" s="1"/>
  <c r="F89" i="6"/>
  <c r="F6" i="7" s="1"/>
  <c r="G103" i="6"/>
  <c r="F105" i="6"/>
  <c r="F107" i="6"/>
  <c r="F123" i="6"/>
  <c r="G135" i="6"/>
  <c r="F137" i="6"/>
  <c r="F139" i="6"/>
  <c r="F151" i="6"/>
  <c r="F9" i="7" s="1"/>
  <c r="G167" i="6"/>
  <c r="F169" i="6"/>
  <c r="F171" i="6"/>
  <c r="E175" i="6"/>
  <c r="F175" i="6" s="1"/>
  <c r="E177" i="6" s="1"/>
  <c r="F177" i="6" s="1"/>
  <c r="F181" i="6" s="1"/>
  <c r="E8" i="7" s="1"/>
  <c r="D11" i="9" s="1"/>
  <c r="F183" i="6"/>
  <c r="F192" i="6" s="1"/>
  <c r="F8" i="7" s="1"/>
  <c r="G198" i="6"/>
  <c r="U198" i="6" s="1"/>
  <c r="E198" i="6" s="1"/>
  <c r="F200" i="6"/>
  <c r="U200" i="6"/>
  <c r="F202" i="6"/>
  <c r="U202" i="6"/>
  <c r="F215" i="6"/>
  <c r="H217" i="6"/>
  <c r="F217" i="6" s="1"/>
  <c r="G231" i="6"/>
  <c r="U231" i="6" s="1"/>
  <c r="F231" i="6" s="1"/>
  <c r="F233" i="6"/>
  <c r="U233" i="6"/>
  <c r="F235" i="6"/>
  <c r="U235" i="6"/>
  <c r="F251" i="6"/>
  <c r="F11" i="7" s="1"/>
  <c r="K603" i="19" s="1"/>
  <c r="L603" i="19" s="1"/>
  <c r="G263" i="6"/>
  <c r="U263" i="6" s="1"/>
  <c r="F265" i="6"/>
  <c r="U265" i="6"/>
  <c r="F267" i="6"/>
  <c r="U267" i="6"/>
  <c r="E271" i="6"/>
  <c r="F271" i="6" s="1"/>
  <c r="E273" i="6" s="1"/>
  <c r="F273" i="6" s="1"/>
  <c r="F280" i="6" s="1"/>
  <c r="E12" i="7" s="1"/>
  <c r="G295" i="6"/>
  <c r="U295" i="6" s="1"/>
  <c r="E295" i="6" s="1"/>
  <c r="F297" i="6"/>
  <c r="U297" i="6"/>
  <c r="F299" i="6"/>
  <c r="U299" i="6"/>
  <c r="E303" i="6"/>
  <c r="F303" i="6" s="1"/>
  <c r="E305" i="6" s="1"/>
  <c r="F305" i="6" s="1"/>
  <c r="F311" i="6" s="1"/>
  <c r="E13" i="7" s="1"/>
  <c r="G327" i="6"/>
  <c r="U327" i="6" s="1"/>
  <c r="F327" i="6" s="1"/>
  <c r="F329" i="6"/>
  <c r="U329" i="6"/>
  <c r="F331" i="6"/>
  <c r="U331" i="6"/>
  <c r="E335" i="6"/>
  <c r="F335" i="6" s="1"/>
  <c r="E337" i="6" s="1"/>
  <c r="F337" i="6" s="1"/>
  <c r="F343" i="6" s="1"/>
  <c r="E14" i="7" s="1"/>
  <c r="F345" i="6"/>
  <c r="F14" i="7" s="1"/>
  <c r="K665" i="19" s="1"/>
  <c r="L665" i="19" s="1"/>
  <c r="L667" i="19" s="1"/>
  <c r="H130" i="20" s="1"/>
  <c r="G359" i="6"/>
  <c r="U359" i="6" s="1"/>
  <c r="E359" i="6" s="1"/>
  <c r="F361" i="6"/>
  <c r="U361" i="6"/>
  <c r="F363" i="6"/>
  <c r="U363" i="6"/>
  <c r="E367" i="6"/>
  <c r="F367" i="6" s="1"/>
  <c r="E369" i="6" s="1"/>
  <c r="F369" i="6" s="1"/>
  <c r="F375" i="6" s="1"/>
  <c r="E15" i="7" s="1"/>
  <c r="I304" i="19" s="1"/>
  <c r="I318" i="19" s="1"/>
  <c r="J318" i="19" s="1"/>
  <c r="F377" i="6"/>
  <c r="F15" i="7" s="1"/>
  <c r="K304" i="19" s="1"/>
  <c r="K318" i="19" s="1"/>
  <c r="L318" i="19" s="1"/>
  <c r="G391" i="6"/>
  <c r="U391" i="6" s="1"/>
  <c r="F391" i="6" s="1"/>
  <c r="G393" i="6"/>
  <c r="U393" i="6" s="1"/>
  <c r="E393" i="6" s="1"/>
  <c r="F393" i="6" s="1"/>
  <c r="G395" i="6"/>
  <c r="U395" i="6" s="1"/>
  <c r="E395" i="6" s="1"/>
  <c r="F395" i="6" s="1"/>
  <c r="E399" i="6"/>
  <c r="F399" i="6" s="1"/>
  <c r="E401" i="6" s="1"/>
  <c r="F401" i="6" s="1"/>
  <c r="F407" i="6" s="1"/>
  <c r="E16" i="7" s="1"/>
  <c r="H409" i="6"/>
  <c r="F409" i="6" s="1"/>
  <c r="F16" i="7" s="1"/>
  <c r="G423" i="6"/>
  <c r="U423" i="6" s="1"/>
  <c r="F423" i="6" s="1"/>
  <c r="F429" i="6" s="1"/>
  <c r="D17" i="7" s="1"/>
  <c r="C8" i="14" s="1"/>
  <c r="E431" i="6"/>
  <c r="F431" i="6" s="1"/>
  <c r="E433" i="6" s="1"/>
  <c r="F433" i="6" s="1"/>
  <c r="F439" i="6" s="1"/>
  <c r="E17" i="7" s="1"/>
  <c r="D32" i="18" s="1"/>
  <c r="F441" i="6"/>
  <c r="F17" i="7" s="1"/>
  <c r="G455" i="6"/>
  <c r="U455" i="6" s="1"/>
  <c r="F455" i="6" s="1"/>
  <c r="F461" i="6" s="1"/>
  <c r="D18" i="7" s="1"/>
  <c r="E463" i="6"/>
  <c r="F463" i="6" s="1"/>
  <c r="E465" i="6" s="1"/>
  <c r="F465" i="6" s="1"/>
  <c r="F471" i="6" s="1"/>
  <c r="E18" i="7" s="1"/>
  <c r="D27" i="18" s="1"/>
  <c r="D29" i="18" s="1"/>
  <c r="F473" i="6"/>
  <c r="G487" i="6"/>
  <c r="U487" i="6" s="1"/>
  <c r="F487" i="6" s="1"/>
  <c r="F489" i="6"/>
  <c r="U489" i="6"/>
  <c r="F491" i="6"/>
  <c r="E495" i="6"/>
  <c r="F495" i="6" s="1"/>
  <c r="E497" i="6" s="1"/>
  <c r="F497" i="6" s="1"/>
  <c r="F503" i="6" s="1"/>
  <c r="E19" i="7" s="1"/>
  <c r="I608" i="19" s="1"/>
  <c r="G519" i="6"/>
  <c r="U519" i="6" s="1"/>
  <c r="F519" i="6" s="1"/>
  <c r="F521" i="6"/>
  <c r="G523" i="6"/>
  <c r="U523" i="6" s="1"/>
  <c r="E523" i="6" s="1"/>
  <c r="F523" i="6" s="1"/>
  <c r="E527" i="6"/>
  <c r="F527" i="6" s="1"/>
  <c r="E529" i="6" s="1"/>
  <c r="F529" i="6" s="1"/>
  <c r="F533" i="6" s="1"/>
  <c r="E20" i="7" s="1"/>
  <c r="G551" i="6"/>
  <c r="U551" i="6" s="1"/>
  <c r="F555" i="6"/>
  <c r="U555" i="6"/>
  <c r="E559" i="6"/>
  <c r="F559" i="6" s="1"/>
  <c r="E561" i="6" s="1"/>
  <c r="F561" i="6" s="1"/>
  <c r="F565" i="6" s="1"/>
  <c r="E21" i="7" s="1"/>
  <c r="D8" i="9" s="1"/>
  <c r="G583" i="6"/>
  <c r="U583" i="6" s="1"/>
  <c r="F583" i="6" s="1"/>
  <c r="F589" i="6" s="1"/>
  <c r="E591" i="6"/>
  <c r="F591" i="6" s="1"/>
  <c r="E593" i="6" s="1"/>
  <c r="F593" i="6" s="1"/>
  <c r="F597" i="6" s="1"/>
  <c r="E22" i="7" s="1"/>
  <c r="I480" i="19" s="1"/>
  <c r="J480" i="19" s="1"/>
  <c r="G615" i="6"/>
  <c r="U615" i="6" s="1"/>
  <c r="E615" i="6" s="1"/>
  <c r="F617" i="6"/>
  <c r="F619" i="6"/>
  <c r="E623" i="6"/>
  <c r="F623" i="6" s="1"/>
  <c r="E625" i="6" s="1"/>
  <c r="F625" i="6" s="1"/>
  <c r="F628" i="6" s="1"/>
  <c r="E23" i="7" s="1"/>
  <c r="I311" i="19" s="1"/>
  <c r="J311" i="19" s="1"/>
  <c r="F630" i="6"/>
  <c r="F23" i="7" s="1"/>
  <c r="K15" i="10" s="1"/>
  <c r="L15" i="10" s="1"/>
  <c r="E655" i="6"/>
  <c r="F655" i="6" s="1"/>
  <c r="E657" i="6" s="1"/>
  <c r="F657" i="6" s="1"/>
  <c r="F663" i="6" s="1"/>
  <c r="E24" i="7" s="1"/>
  <c r="F665" i="6"/>
  <c r="E14" i="9" s="1"/>
  <c r="G679" i="6"/>
  <c r="U679" i="6" s="1"/>
  <c r="F679" i="6" s="1"/>
  <c r="F685" i="6" s="1"/>
  <c r="D28" i="7" s="1"/>
  <c r="F681" i="6"/>
  <c r="F683" i="6"/>
  <c r="E687" i="6"/>
  <c r="F687" i="6" s="1"/>
  <c r="E689" i="6" s="1"/>
  <c r="F689" i="6" s="1"/>
  <c r="F695" i="6" s="1"/>
  <c r="E28" i="7" s="1"/>
  <c r="F697" i="6"/>
  <c r="F28" i="7" s="1"/>
  <c r="E11" i="14" s="1"/>
  <c r="G711" i="6"/>
  <c r="U711" i="6" s="1"/>
  <c r="F711" i="6" s="1"/>
  <c r="F716" i="6" s="1"/>
  <c r="F713" i="6"/>
  <c r="F715" i="6"/>
  <c r="E719" i="6"/>
  <c r="F719" i="6" s="1"/>
  <c r="E721" i="6" s="1"/>
  <c r="F721" i="6" s="1"/>
  <c r="F724" i="6" s="1"/>
  <c r="H726" i="6"/>
  <c r="F726" i="6" s="1"/>
  <c r="F27" i="7" s="1"/>
  <c r="C27" i="7" s="1"/>
  <c r="G743" i="6"/>
  <c r="U743" i="6" s="1"/>
  <c r="E743" i="6" s="1"/>
  <c r="F743" i="6" s="1"/>
  <c r="F750" i="6" s="1"/>
  <c r="D29" i="7" s="1"/>
  <c r="F745" i="6"/>
  <c r="F749" i="6"/>
  <c r="E752" i="6"/>
  <c r="F752" i="6" s="1"/>
  <c r="E754" i="6" s="1"/>
  <c r="F754" i="6" s="1"/>
  <c r="F759" i="6" s="1"/>
  <c r="E29" i="7" s="1"/>
  <c r="I42" i="19" s="1"/>
  <c r="J42" i="19" s="1"/>
  <c r="H761" i="6"/>
  <c r="F761" i="6" s="1"/>
  <c r="F29" i="7" s="1"/>
  <c r="K42" i="19" s="1"/>
  <c r="L42" i="19" s="1"/>
  <c r="G775" i="6"/>
  <c r="U775" i="6" s="1"/>
  <c r="F775" i="6" s="1"/>
  <c r="F777" i="6"/>
  <c r="F779" i="6"/>
  <c r="E783" i="6"/>
  <c r="F783" i="6" s="1"/>
  <c r="E785" i="6" s="1"/>
  <c r="F785" i="6" s="1"/>
  <c r="F791" i="6" s="1"/>
  <c r="G807" i="6"/>
  <c r="U807" i="6" s="1"/>
  <c r="E807" i="6" s="1"/>
  <c r="F807" i="6" s="1"/>
  <c r="D31" i="7" s="1"/>
  <c r="C16" i="9" s="1"/>
  <c r="F809" i="6"/>
  <c r="F811" i="6"/>
  <c r="E815" i="6"/>
  <c r="F815" i="6" s="1"/>
  <c r="E817" i="6" s="1"/>
  <c r="F817" i="6" s="1"/>
  <c r="F820" i="6" s="1"/>
  <c r="E31" i="7" s="1"/>
  <c r="D16" i="9" s="1"/>
  <c r="F822" i="6"/>
  <c r="F31" i="7" s="1"/>
  <c r="G839" i="6"/>
  <c r="U839" i="6" s="1"/>
  <c r="F839" i="6" s="1"/>
  <c r="F844" i="6" s="1"/>
  <c r="F841" i="6"/>
  <c r="F843" i="6"/>
  <c r="E847" i="6"/>
  <c r="F847" i="6" s="1"/>
  <c r="E849" i="6" s="1"/>
  <c r="F849" i="6" s="1"/>
  <c r="F852" i="6" s="1"/>
  <c r="E32" i="7" s="1"/>
  <c r="F854" i="6"/>
  <c r="F32" i="7" s="1"/>
  <c r="F871" i="6"/>
  <c r="F873" i="6"/>
  <c r="F875" i="6"/>
  <c r="E879" i="6"/>
  <c r="F879" i="6" s="1"/>
  <c r="E881" i="6" s="1"/>
  <c r="F881" i="6" s="1"/>
  <c r="F885" i="6" s="1"/>
  <c r="F887" i="6"/>
  <c r="F33" i="7" s="1"/>
  <c r="K330" i="10" s="1"/>
  <c r="E903" i="6"/>
  <c r="F903" i="6" s="1"/>
  <c r="E905" i="6" s="1"/>
  <c r="F905" i="6" s="1"/>
  <c r="F912" i="6" s="1"/>
  <c r="E36" i="7" s="1"/>
  <c r="I404" i="19" s="1"/>
  <c r="J404" i="19" s="1"/>
  <c r="H914" i="6"/>
  <c r="F914" i="6" s="1"/>
  <c r="H916" i="6"/>
  <c r="F916" i="6" s="1"/>
  <c r="H918" i="6"/>
  <c r="F918" i="6" s="1"/>
  <c r="G935" i="6"/>
  <c r="U935" i="6" s="1"/>
  <c r="E935" i="6" s="1"/>
  <c r="G937" i="6"/>
  <c r="U937" i="6" s="1"/>
  <c r="E937" i="6" s="1"/>
  <c r="F937" i="6" s="1"/>
  <c r="G939" i="6"/>
  <c r="U939" i="6" s="1"/>
  <c r="E939" i="6" s="1"/>
  <c r="F939" i="6" s="1"/>
  <c r="E943" i="6"/>
  <c r="H953" i="6"/>
  <c r="F953" i="6" s="1"/>
  <c r="F37" i="7" s="1"/>
  <c r="K379" i="10" s="1"/>
  <c r="L379" i="10" s="1"/>
  <c r="F967" i="6"/>
  <c r="F969" i="6"/>
  <c r="F971" i="6"/>
  <c r="F975" i="6"/>
  <c r="E977" i="6" s="1"/>
  <c r="F977" i="6" s="1"/>
  <c r="F981" i="6" s="1"/>
  <c r="C26" i="7"/>
  <c r="C34" i="7"/>
  <c r="C35" i="7"/>
  <c r="H7" i="17"/>
  <c r="H12" i="17"/>
  <c r="H13" i="17" s="1"/>
  <c r="F4" i="18" s="1"/>
  <c r="H18" i="17"/>
  <c r="H19" i="17" s="1"/>
  <c r="F5" i="18" s="1"/>
  <c r="H25" i="17"/>
  <c r="F6" i="18" s="1"/>
  <c r="H30" i="17"/>
  <c r="H31" i="17" s="1"/>
  <c r="F7" i="18" s="1"/>
  <c r="H36" i="17"/>
  <c r="H37" i="17" s="1"/>
  <c r="F8" i="18" s="1"/>
  <c r="H42" i="17"/>
  <c r="H43" i="17" s="1"/>
  <c r="F9" i="18" s="1"/>
  <c r="H49" i="17"/>
  <c r="F10" i="18" s="1"/>
  <c r="H55" i="17"/>
  <c r="H61" i="17"/>
  <c r="F11" i="18" s="1"/>
  <c r="H67" i="17"/>
  <c r="H73" i="17"/>
  <c r="F13" i="18" s="1"/>
  <c r="H78" i="17"/>
  <c r="H83" i="17"/>
  <c r="H84" i="17" s="1"/>
  <c r="F15" i="18" s="1"/>
  <c r="H89" i="17"/>
  <c r="H90" i="17" s="1"/>
  <c r="F16" i="18" s="1"/>
  <c r="F17" i="18"/>
  <c r="H107" i="17"/>
  <c r="F19" i="18" s="1"/>
  <c r="H113" i="17"/>
  <c r="F20" i="18" s="1"/>
  <c r="K116" i="17"/>
  <c r="L118" i="17" s="1"/>
  <c r="L119" i="17" s="1"/>
  <c r="G120" i="17"/>
  <c r="H128" i="17"/>
  <c r="F22" i="18" s="1"/>
  <c r="K131" i="17"/>
  <c r="H133" i="17"/>
  <c r="K138" i="17"/>
  <c r="G142" i="17"/>
  <c r="K147" i="17"/>
  <c r="H149" i="17"/>
  <c r="H156" i="17"/>
  <c r="F26" i="18" s="1"/>
  <c r="K159" i="17"/>
  <c r="L161" i="17" s="1"/>
  <c r="L162" i="17" s="1"/>
  <c r="G163" i="17"/>
  <c r="H171" i="17"/>
  <c r="F28" i="18" s="1"/>
  <c r="K174" i="17"/>
  <c r="L176" i="17" s="1"/>
  <c r="L177" i="17" s="1"/>
  <c r="G178" i="17"/>
  <c r="H186" i="17"/>
  <c r="F30" i="18" s="1"/>
  <c r="H192" i="17"/>
  <c r="F31" i="18" s="1"/>
  <c r="K195" i="17"/>
  <c r="L197" i="17" s="1"/>
  <c r="L198" i="17" s="1"/>
  <c r="G199" i="17"/>
  <c r="K204" i="17"/>
  <c r="L206" i="17" s="1"/>
  <c r="L207" i="17" s="1"/>
  <c r="H216" i="17"/>
  <c r="F34" i="18" s="1"/>
  <c r="K219" i="17"/>
  <c r="L221" i="17" s="1"/>
  <c r="L222" i="17" s="1"/>
  <c r="G223" i="17"/>
  <c r="F231" i="17"/>
  <c r="F36" i="18" s="1"/>
  <c r="H237" i="17"/>
  <c r="H238" i="17" s="1"/>
  <c r="F37" i="18" s="1"/>
  <c r="H243" i="17"/>
  <c r="E256" i="17"/>
  <c r="E262" i="17"/>
  <c r="F38" i="18"/>
  <c r="F39" i="18"/>
  <c r="F40" i="18"/>
  <c r="F41" i="18"/>
  <c r="F42" i="18"/>
  <c r="F43" i="18"/>
  <c r="F44" i="18"/>
  <c r="F45" i="18"/>
  <c r="F46" i="18"/>
  <c r="D10" i="16"/>
  <c r="F12" i="16" s="1"/>
  <c r="G13" i="16" s="1"/>
  <c r="D27" i="16"/>
  <c r="G29" i="16" s="1"/>
  <c r="L29" i="16" s="1"/>
  <c r="D5" i="14" s="1"/>
  <c r="F34" i="16"/>
  <c r="C15" i="15" s="1"/>
  <c r="L15" i="15" s="1"/>
  <c r="D45" i="16"/>
  <c r="F47" i="16" s="1"/>
  <c r="L47" i="16" s="1"/>
  <c r="D62" i="16"/>
  <c r="F64" i="16" s="1"/>
  <c r="G66" i="16" s="1"/>
  <c r="F7" i="14" s="1"/>
  <c r="D79" i="16"/>
  <c r="D80" i="16" s="1"/>
  <c r="F81" i="16" s="1"/>
  <c r="F82" i="16"/>
  <c r="D87" i="16"/>
  <c r="F90" i="16" s="1"/>
  <c r="F91" i="16" s="1"/>
  <c r="F96" i="16"/>
  <c r="D105" i="16"/>
  <c r="D106" i="16" s="1"/>
  <c r="F107" i="16" s="1"/>
  <c r="D113" i="16"/>
  <c r="F116" i="16" s="1"/>
  <c r="F117" i="16" s="1"/>
  <c r="D131" i="16"/>
  <c r="L131" i="16" s="1"/>
  <c r="E132" i="16" s="1"/>
  <c r="D137" i="16"/>
  <c r="G139" i="16" s="1"/>
  <c r="H137" i="16"/>
  <c r="E155" i="16"/>
  <c r="D163" i="16"/>
  <c r="G165" i="16" s="1"/>
  <c r="H163" i="16"/>
  <c r="D203" i="16"/>
  <c r="F208" i="16" s="1"/>
  <c r="H208" i="16" s="1"/>
  <c r="J208" i="16" s="1"/>
  <c r="H5" i="15"/>
  <c r="I5" i="15"/>
  <c r="E5" i="15" s="1"/>
  <c r="L5" i="15"/>
  <c r="C6" i="15"/>
  <c r="L6" i="15" s="1"/>
  <c r="G6" i="15"/>
  <c r="E6" i="15" s="1"/>
  <c r="C8" i="15"/>
  <c r="G8" i="15"/>
  <c r="H9" i="15"/>
  <c r="J9" i="15"/>
  <c r="E11" i="15"/>
  <c r="H12" i="15"/>
  <c r="J12" i="15"/>
  <c r="L12" i="15"/>
  <c r="C13" i="15"/>
  <c r="L13" i="15" s="1"/>
  <c r="G13" i="15"/>
  <c r="E13" i="15" s="1"/>
  <c r="G15" i="15"/>
  <c r="E15" i="15" s="1"/>
  <c r="E17" i="15"/>
  <c r="E23" i="15" s="1"/>
  <c r="E29" i="15" s="1"/>
  <c r="E35" i="15" s="1"/>
  <c r="E41" i="15" s="1"/>
  <c r="E47" i="15" s="1"/>
  <c r="E53" i="15" s="1"/>
  <c r="E58" i="15" s="1"/>
  <c r="E63" i="15" s="1"/>
  <c r="E68" i="15" s="1"/>
  <c r="E73" i="15" s="1"/>
  <c r="E78" i="15" s="1"/>
  <c r="E83" i="15" s="1"/>
  <c r="E88" i="15" s="1"/>
  <c r="E93" i="15" s="1"/>
  <c r="E98" i="15" s="1"/>
  <c r="E103" i="15" s="1"/>
  <c r="E108" i="15" s="1"/>
  <c r="E113" i="15" s="1"/>
  <c r="E117" i="15" s="1"/>
  <c r="E122" i="15" s="1"/>
  <c r="E125" i="15" s="1"/>
  <c r="E128" i="15" s="1"/>
  <c r="E131" i="15" s="1"/>
  <c r="E134" i="15" s="1"/>
  <c r="E137" i="15" s="1"/>
  <c r="K18" i="15"/>
  <c r="E18" i="15" s="1"/>
  <c r="C19" i="15"/>
  <c r="J19" i="15" s="1"/>
  <c r="G19" i="15"/>
  <c r="C21" i="15"/>
  <c r="L21" i="15" s="1"/>
  <c r="G21" i="15"/>
  <c r="H24" i="15"/>
  <c r="J24" i="15"/>
  <c r="K24" i="15"/>
  <c r="E24" i="15" s="1"/>
  <c r="C25" i="15"/>
  <c r="L25" i="15" s="1"/>
  <c r="G25" i="15"/>
  <c r="E25" i="15" s="1"/>
  <c r="C27" i="15"/>
  <c r="L27" i="15" s="1"/>
  <c r="G27" i="15"/>
  <c r="E27" i="15" s="1"/>
  <c r="H30" i="15"/>
  <c r="J30" i="15"/>
  <c r="K30" i="15"/>
  <c r="C31" i="15"/>
  <c r="L31" i="15" s="1"/>
  <c r="G31" i="15"/>
  <c r="E31" i="15" s="1"/>
  <c r="C33" i="15"/>
  <c r="J33" i="15" s="1"/>
  <c r="G33" i="15"/>
  <c r="E33" i="15" s="1"/>
  <c r="C38" i="15"/>
  <c r="J38" i="15" s="1"/>
  <c r="G38" i="15"/>
  <c r="E38" i="15" s="1"/>
  <c r="B39" i="15"/>
  <c r="H39" i="15"/>
  <c r="I39" i="15"/>
  <c r="E39" i="15" s="1"/>
  <c r="L39" i="15"/>
  <c r="C44" i="15"/>
  <c r="G44" i="15"/>
  <c r="E44" i="15" s="1"/>
  <c r="B45" i="15"/>
  <c r="H45" i="15"/>
  <c r="I45" i="15"/>
  <c r="L45" i="15"/>
  <c r="C50" i="15"/>
  <c r="J50" i="15" s="1"/>
  <c r="G50" i="15"/>
  <c r="E50" i="15" s="1"/>
  <c r="H51" i="15"/>
  <c r="L51" i="15"/>
  <c r="G54" i="15"/>
  <c r="E54" i="15" s="1"/>
  <c r="G56" i="15"/>
  <c r="H56" i="15" s="1"/>
  <c r="J56" i="15"/>
  <c r="L56" i="15"/>
  <c r="G59" i="15"/>
  <c r="E59" i="15" s="1"/>
  <c r="G61" i="15"/>
  <c r="G71" i="15" s="1"/>
  <c r="J61" i="15"/>
  <c r="L61" i="15"/>
  <c r="G64" i="15"/>
  <c r="J66" i="15"/>
  <c r="L66" i="15"/>
  <c r="J71" i="15"/>
  <c r="L71" i="15"/>
  <c r="G76" i="15"/>
  <c r="E76" i="15" s="1"/>
  <c r="G81" i="15"/>
  <c r="E81" i="15" s="1"/>
  <c r="G86" i="15"/>
  <c r="E86" i="15" s="1"/>
  <c r="G91" i="15"/>
  <c r="E91" i="15" s="1"/>
  <c r="G96" i="15"/>
  <c r="G101" i="15" s="1"/>
  <c r="B3" i="13"/>
  <c r="B4" i="13"/>
  <c r="B5" i="13"/>
  <c r="B6" i="13"/>
  <c r="B7" i="13"/>
  <c r="B8" i="13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5" i="13"/>
  <c r="B26" i="13"/>
  <c r="B27" i="13"/>
  <c r="B28" i="13"/>
  <c r="B29" i="13"/>
  <c r="I3" i="8"/>
  <c r="F5" i="8" s="1"/>
  <c r="F4" i="9" s="1"/>
  <c r="F10" i="8"/>
  <c r="F5" i="9" s="1"/>
  <c r="I13" i="8"/>
  <c r="F15" i="8" s="1"/>
  <c r="F6" i="9" s="1"/>
  <c r="F21" i="8"/>
  <c r="F7" i="9" s="1"/>
  <c r="F27" i="8"/>
  <c r="F8" i="9" s="1"/>
  <c r="F34" i="8"/>
  <c r="F9" i="9" s="1"/>
  <c r="I43" i="8"/>
  <c r="F45" i="8" s="1"/>
  <c r="F11" i="9" s="1"/>
  <c r="E50" i="8"/>
  <c r="E55" i="8"/>
  <c r="E60" i="8"/>
  <c r="E65" i="8"/>
  <c r="F65" i="8"/>
  <c r="F13" i="9" s="1"/>
  <c r="E70" i="8"/>
  <c r="F70" i="8"/>
  <c r="F14" i="9" s="1"/>
  <c r="E75" i="8"/>
  <c r="F75" i="8"/>
  <c r="F16" i="9" s="1"/>
  <c r="F10" i="9"/>
  <c r="F12" i="9"/>
  <c r="H12" i="9" s="1"/>
  <c r="D13" i="9"/>
  <c r="G5" i="10"/>
  <c r="H5" i="10" s="1"/>
  <c r="J5" i="10"/>
  <c r="L5" i="10"/>
  <c r="G6" i="10"/>
  <c r="H6" i="10" s="1"/>
  <c r="J6" i="10"/>
  <c r="L6" i="10"/>
  <c r="E12" i="10"/>
  <c r="E20" i="10" s="1"/>
  <c r="E23" i="10" s="1"/>
  <c r="E27" i="10" s="1"/>
  <c r="E30" i="10" s="1"/>
  <c r="E33" i="10" s="1"/>
  <c r="E36" i="10" s="1"/>
  <c r="E39" i="10" s="1"/>
  <c r="E42" i="10" s="1"/>
  <c r="E45" i="10" s="1"/>
  <c r="E50" i="10" s="1"/>
  <c r="E56" i="10" s="1"/>
  <c r="E64" i="10" s="1"/>
  <c r="E68" i="10" s="1"/>
  <c r="E73" i="10" s="1"/>
  <c r="E81" i="10" s="1"/>
  <c r="E89" i="10" s="1"/>
  <c r="E95" i="10" s="1"/>
  <c r="E101" i="10" s="1"/>
  <c r="E119" i="10" s="1"/>
  <c r="E132" i="10" s="1"/>
  <c r="E136" i="10" s="1"/>
  <c r="E140" i="10" s="1"/>
  <c r="E146" i="10" s="1"/>
  <c r="E152" i="10" s="1"/>
  <c r="E158" i="10" s="1"/>
  <c r="E164" i="10" s="1"/>
  <c r="E170" i="10" s="1"/>
  <c r="E176" i="10" s="1"/>
  <c r="E183" i="10" s="1"/>
  <c r="E189" i="10" s="1"/>
  <c r="E196" i="10" s="1"/>
  <c r="E202" i="10" s="1"/>
  <c r="E208" i="10" s="1"/>
  <c r="E214" i="10" s="1"/>
  <c r="E218" i="10" s="1"/>
  <c r="E222" i="10" s="1"/>
  <c r="E226" i="10" s="1"/>
  <c r="E230" i="10" s="1"/>
  <c r="E236" i="10" s="1"/>
  <c r="E240" i="10" s="1"/>
  <c r="E244" i="10" s="1"/>
  <c r="E248" i="10" s="1"/>
  <c r="E252" i="10" s="1"/>
  <c r="E256" i="10" s="1"/>
  <c r="E263" i="10" s="1"/>
  <c r="E270" i="10" s="1"/>
  <c r="E277" i="10" s="1"/>
  <c r="E284" i="10" s="1"/>
  <c r="E293" i="10" s="1"/>
  <c r="E303" i="10" s="1"/>
  <c r="E310" i="10" s="1"/>
  <c r="E322" i="10" s="1"/>
  <c r="E334" i="10" s="1"/>
  <c r="E339" i="10" s="1"/>
  <c r="E350" i="10" s="1"/>
  <c r="E358" i="10" s="1"/>
  <c r="E363" i="10" s="1"/>
  <c r="E368" i="10" s="1"/>
  <c r="E373" i="10" s="1"/>
  <c r="E378" i="10" s="1"/>
  <c r="E385" i="10" s="1"/>
  <c r="E391" i="10" s="1"/>
  <c r="E397" i="10" s="1"/>
  <c r="E403" i="10" s="1"/>
  <c r="E409" i="10" s="1"/>
  <c r="E415" i="10" s="1"/>
  <c r="E421" i="10" s="1"/>
  <c r="E427" i="10" s="1"/>
  <c r="E433" i="10" s="1"/>
  <c r="E439" i="10" s="1"/>
  <c r="E445" i="10" s="1"/>
  <c r="E451" i="10" s="1"/>
  <c r="E457" i="10" s="1"/>
  <c r="E463" i="10" s="1"/>
  <c r="G9" i="10"/>
  <c r="E9" i="10" s="1"/>
  <c r="J9" i="10"/>
  <c r="L9" i="10"/>
  <c r="G10" i="10"/>
  <c r="J10" i="10"/>
  <c r="L10" i="10"/>
  <c r="G13" i="10"/>
  <c r="E13" i="10" s="1"/>
  <c r="J13" i="10"/>
  <c r="L13" i="10"/>
  <c r="G14" i="10"/>
  <c r="E14" i="10" s="1"/>
  <c r="J14" i="10"/>
  <c r="L14" i="10"/>
  <c r="G16" i="10"/>
  <c r="H16" i="10" s="1"/>
  <c r="I16" i="10"/>
  <c r="J16" i="10" s="1"/>
  <c r="K16" i="10"/>
  <c r="L16" i="10" s="1"/>
  <c r="G17" i="10"/>
  <c r="H17" i="10" s="1"/>
  <c r="I17" i="10"/>
  <c r="J17" i="10" s="1"/>
  <c r="K17" i="10"/>
  <c r="L17" i="10" s="1"/>
  <c r="H18" i="10"/>
  <c r="L18" i="10"/>
  <c r="G24" i="10"/>
  <c r="E24" i="10" s="1"/>
  <c r="J24" i="10"/>
  <c r="L24" i="10"/>
  <c r="G25" i="10"/>
  <c r="H25" i="10" s="1"/>
  <c r="J25" i="10"/>
  <c r="L25" i="10"/>
  <c r="H46" i="10"/>
  <c r="I46" i="10"/>
  <c r="E46" i="10" s="1"/>
  <c r="L46" i="10"/>
  <c r="G47" i="10"/>
  <c r="E47" i="10" s="1"/>
  <c r="J47" i="10"/>
  <c r="L47" i="10"/>
  <c r="G48" i="10"/>
  <c r="J48" i="10"/>
  <c r="L48" i="10"/>
  <c r="H51" i="10"/>
  <c r="I51" i="10"/>
  <c r="E51" i="10" s="1"/>
  <c r="L51" i="10"/>
  <c r="G52" i="10"/>
  <c r="E52" i="10" s="1"/>
  <c r="J52" i="10"/>
  <c r="L52" i="10"/>
  <c r="H53" i="10"/>
  <c r="I53" i="10"/>
  <c r="J53" i="10" s="1"/>
  <c r="L53" i="10"/>
  <c r="H57" i="10"/>
  <c r="I57" i="10"/>
  <c r="J57" i="10" s="1"/>
  <c r="L57" i="10"/>
  <c r="H58" i="10"/>
  <c r="I58" i="10"/>
  <c r="J58" i="10" s="1"/>
  <c r="L58" i="10"/>
  <c r="H59" i="10"/>
  <c r="I59" i="10"/>
  <c r="E59" i="10" s="1"/>
  <c r="L59" i="10"/>
  <c r="H60" i="10"/>
  <c r="I60" i="10"/>
  <c r="J60" i="10" s="1"/>
  <c r="L60" i="10"/>
  <c r="H61" i="10"/>
  <c r="I61" i="10"/>
  <c r="J61" i="10" s="1"/>
  <c r="L61" i="10"/>
  <c r="H62" i="10"/>
  <c r="I62" i="10"/>
  <c r="J62" i="10" s="1"/>
  <c r="L62" i="10"/>
  <c r="G65" i="10"/>
  <c r="H65" i="10" s="1"/>
  <c r="J65" i="10"/>
  <c r="L65" i="10"/>
  <c r="G66" i="10"/>
  <c r="E66" i="10" s="1"/>
  <c r="J66" i="10"/>
  <c r="L66" i="10"/>
  <c r="H69" i="10"/>
  <c r="I69" i="10"/>
  <c r="J69" i="10" s="1"/>
  <c r="L69" i="10"/>
  <c r="H70" i="10"/>
  <c r="I70" i="10"/>
  <c r="J70" i="10" s="1"/>
  <c r="L70" i="10"/>
  <c r="G74" i="10"/>
  <c r="J74" i="10"/>
  <c r="L74" i="10"/>
  <c r="G75" i="10"/>
  <c r="E75" i="10" s="1"/>
  <c r="J75" i="10"/>
  <c r="L75" i="10"/>
  <c r="H82" i="10"/>
  <c r="I82" i="10"/>
  <c r="E82" i="10" s="1"/>
  <c r="L82" i="10"/>
  <c r="H83" i="10"/>
  <c r="I83" i="10"/>
  <c r="E83" i="10" s="1"/>
  <c r="L83" i="10"/>
  <c r="H84" i="10"/>
  <c r="I84" i="10"/>
  <c r="E84" i="10" s="1"/>
  <c r="L84" i="10"/>
  <c r="G85" i="10"/>
  <c r="H85" i="10" s="1"/>
  <c r="J85" i="10"/>
  <c r="L85" i="10"/>
  <c r="G86" i="10"/>
  <c r="E86" i="10" s="1"/>
  <c r="J86" i="10"/>
  <c r="L86" i="10"/>
  <c r="H90" i="10"/>
  <c r="I90" i="10"/>
  <c r="J90" i="10" s="1"/>
  <c r="L90" i="10"/>
  <c r="H91" i="10"/>
  <c r="I91" i="10"/>
  <c r="J91" i="10" s="1"/>
  <c r="L91" i="10"/>
  <c r="G92" i="10"/>
  <c r="E92" i="10" s="1"/>
  <c r="J92" i="10"/>
  <c r="L92" i="10"/>
  <c r="G93" i="10"/>
  <c r="J93" i="10"/>
  <c r="L93" i="10"/>
  <c r="H96" i="10"/>
  <c r="I96" i="10"/>
  <c r="J96" i="10" s="1"/>
  <c r="L96" i="10"/>
  <c r="H97" i="10"/>
  <c r="I97" i="10"/>
  <c r="L97" i="10"/>
  <c r="G98" i="10"/>
  <c r="E98" i="10" s="1"/>
  <c r="J98" i="10"/>
  <c r="L98" i="10"/>
  <c r="G99" i="10"/>
  <c r="H99" i="10" s="1"/>
  <c r="J99" i="10"/>
  <c r="L99" i="10"/>
  <c r="H102" i="10"/>
  <c r="I102" i="10"/>
  <c r="E102" i="10" s="1"/>
  <c r="L102" i="10"/>
  <c r="H103" i="10"/>
  <c r="I103" i="10"/>
  <c r="J103" i="10" s="1"/>
  <c r="L103" i="10"/>
  <c r="H104" i="10"/>
  <c r="I104" i="10"/>
  <c r="J104" i="10" s="1"/>
  <c r="L104" i="10"/>
  <c r="H105" i="10"/>
  <c r="I105" i="10"/>
  <c r="E105" i="10" s="1"/>
  <c r="L105" i="10"/>
  <c r="H106" i="10"/>
  <c r="I106" i="10"/>
  <c r="J106" i="10" s="1"/>
  <c r="L106" i="10"/>
  <c r="H107" i="10"/>
  <c r="I107" i="10"/>
  <c r="E107" i="10" s="1"/>
  <c r="L107" i="10"/>
  <c r="H108" i="10"/>
  <c r="I108" i="10"/>
  <c r="L108" i="10"/>
  <c r="H109" i="10"/>
  <c r="I109" i="10"/>
  <c r="J109" i="10" s="1"/>
  <c r="L109" i="10"/>
  <c r="H110" i="10"/>
  <c r="I110" i="10"/>
  <c r="E110" i="10" s="1"/>
  <c r="L110" i="10"/>
  <c r="H111" i="10"/>
  <c r="I111" i="10"/>
  <c r="J111" i="10" s="1"/>
  <c r="L111" i="10"/>
  <c r="H112" i="10"/>
  <c r="I112" i="10"/>
  <c r="L112" i="10"/>
  <c r="H113" i="10"/>
  <c r="I113" i="10"/>
  <c r="E113" i="10" s="1"/>
  <c r="L113" i="10"/>
  <c r="H114" i="10"/>
  <c r="I114" i="10"/>
  <c r="L114" i="10"/>
  <c r="H115" i="10"/>
  <c r="I115" i="10"/>
  <c r="L115" i="10"/>
  <c r="H116" i="10"/>
  <c r="I116" i="10"/>
  <c r="J116" i="10" s="1"/>
  <c r="L116" i="10"/>
  <c r="H120" i="10"/>
  <c r="I120" i="10"/>
  <c r="E120" i="10" s="1"/>
  <c r="L120" i="10"/>
  <c r="H121" i="10"/>
  <c r="I121" i="10"/>
  <c r="E121" i="10" s="1"/>
  <c r="L121" i="10"/>
  <c r="H122" i="10"/>
  <c r="I122" i="10"/>
  <c r="E122" i="10" s="1"/>
  <c r="L122" i="10"/>
  <c r="H123" i="10"/>
  <c r="I123" i="10"/>
  <c r="J123" i="10" s="1"/>
  <c r="L123" i="10"/>
  <c r="H124" i="10"/>
  <c r="I124" i="10"/>
  <c r="E124" i="10" s="1"/>
  <c r="L124" i="10"/>
  <c r="H125" i="10"/>
  <c r="I125" i="10"/>
  <c r="E125" i="10" s="1"/>
  <c r="L125" i="10"/>
  <c r="H126" i="10"/>
  <c r="I126" i="10"/>
  <c r="E126" i="10" s="1"/>
  <c r="L126" i="10"/>
  <c r="H127" i="10"/>
  <c r="I127" i="10"/>
  <c r="E127" i="10" s="1"/>
  <c r="L127" i="10"/>
  <c r="H128" i="10"/>
  <c r="I128" i="10"/>
  <c r="L128" i="10"/>
  <c r="H129" i="10"/>
  <c r="I129" i="10"/>
  <c r="L129" i="10"/>
  <c r="H130" i="10"/>
  <c r="I130" i="10"/>
  <c r="E130" i="10" s="1"/>
  <c r="L130" i="10"/>
  <c r="G133" i="10"/>
  <c r="E133" i="10" s="1"/>
  <c r="J133" i="10"/>
  <c r="L133" i="10"/>
  <c r="G134" i="10"/>
  <c r="H134" i="10" s="1"/>
  <c r="J134" i="10"/>
  <c r="L134" i="10"/>
  <c r="G137" i="10"/>
  <c r="E137" i="10" s="1"/>
  <c r="J137" i="10"/>
  <c r="L137" i="10"/>
  <c r="G138" i="10"/>
  <c r="E138" i="10" s="1"/>
  <c r="J138" i="10"/>
  <c r="L138" i="10"/>
  <c r="C141" i="10"/>
  <c r="L141" i="10" s="1"/>
  <c r="G141" i="10"/>
  <c r="E141" i="10" s="1"/>
  <c r="G142" i="10"/>
  <c r="H142" i="10" s="1"/>
  <c r="J142" i="10"/>
  <c r="L142" i="10"/>
  <c r="H143" i="10"/>
  <c r="I143" i="10"/>
  <c r="J143" i="10" s="1"/>
  <c r="L143" i="10"/>
  <c r="C147" i="10"/>
  <c r="J147" i="10" s="1"/>
  <c r="G147" i="10"/>
  <c r="E147" i="10" s="1"/>
  <c r="C148" i="10"/>
  <c r="J148" i="10" s="1"/>
  <c r="G148" i="10"/>
  <c r="H149" i="10"/>
  <c r="I149" i="10"/>
  <c r="J149" i="10" s="1"/>
  <c r="L149" i="10"/>
  <c r="C153" i="10"/>
  <c r="J153" i="10" s="1"/>
  <c r="G153" i="10"/>
  <c r="E153" i="10" s="1"/>
  <c r="C154" i="10"/>
  <c r="J154" i="10" s="1"/>
  <c r="G154" i="10"/>
  <c r="H155" i="10"/>
  <c r="I155" i="10"/>
  <c r="J155" i="10" s="1"/>
  <c r="L155" i="10"/>
  <c r="C159" i="10"/>
  <c r="J159" i="10" s="1"/>
  <c r="G159" i="10"/>
  <c r="C160" i="10"/>
  <c r="J160" i="10" s="1"/>
  <c r="G160" i="10"/>
  <c r="E160" i="10" s="1"/>
  <c r="H161" i="10"/>
  <c r="I161" i="10"/>
  <c r="L161" i="10"/>
  <c r="C165" i="10"/>
  <c r="J165" i="10" s="1"/>
  <c r="G165" i="10"/>
  <c r="C166" i="10"/>
  <c r="L166" i="10" s="1"/>
  <c r="G166" i="10"/>
  <c r="E166" i="10" s="1"/>
  <c r="H167" i="10"/>
  <c r="I167" i="10"/>
  <c r="L167" i="10"/>
  <c r="H171" i="10"/>
  <c r="I171" i="10"/>
  <c r="J171" i="10" s="1"/>
  <c r="L171" i="10"/>
  <c r="G172" i="10"/>
  <c r="E172" i="10" s="1"/>
  <c r="J172" i="10"/>
  <c r="L172" i="10"/>
  <c r="G173" i="10"/>
  <c r="H173" i="10" s="1"/>
  <c r="J173" i="10"/>
  <c r="L173" i="10"/>
  <c r="H174" i="10"/>
  <c r="J174" i="10"/>
  <c r="C178" i="10"/>
  <c r="G179" i="10"/>
  <c r="E179" i="10" s="1"/>
  <c r="J179" i="10"/>
  <c r="L179" i="10"/>
  <c r="G180" i="10"/>
  <c r="E180" i="10" s="1"/>
  <c r="J180" i="10"/>
  <c r="L180" i="10"/>
  <c r="B185" i="10"/>
  <c r="C185" i="10"/>
  <c r="G186" i="10"/>
  <c r="E186" i="10" s="1"/>
  <c r="J186" i="10"/>
  <c r="L186" i="10"/>
  <c r="G187" i="10"/>
  <c r="H187" i="10" s="1"/>
  <c r="J187" i="10"/>
  <c r="L187" i="10"/>
  <c r="B191" i="10"/>
  <c r="C191" i="10"/>
  <c r="G192" i="10"/>
  <c r="E192" i="10" s="1"/>
  <c r="J192" i="10"/>
  <c r="L192" i="10"/>
  <c r="G193" i="10"/>
  <c r="E193" i="10" s="1"/>
  <c r="J193" i="10"/>
  <c r="L193" i="10"/>
  <c r="H194" i="10"/>
  <c r="I194" i="10"/>
  <c r="E194" i="10" s="1"/>
  <c r="L194" i="10"/>
  <c r="G197" i="10"/>
  <c r="E197" i="10" s="1"/>
  <c r="J197" i="10"/>
  <c r="L197" i="10"/>
  <c r="G198" i="10"/>
  <c r="J198" i="10"/>
  <c r="L198" i="10"/>
  <c r="G203" i="10"/>
  <c r="H203" i="10" s="1"/>
  <c r="J203" i="10"/>
  <c r="L203" i="10"/>
  <c r="G204" i="10"/>
  <c r="H204" i="10" s="1"/>
  <c r="J204" i="10"/>
  <c r="L204" i="10"/>
  <c r="G209" i="10"/>
  <c r="H209" i="10" s="1"/>
  <c r="J209" i="10"/>
  <c r="L209" i="10"/>
  <c r="G210" i="10"/>
  <c r="H210" i="10" s="1"/>
  <c r="J210" i="10"/>
  <c r="L210" i="10"/>
  <c r="G215" i="10"/>
  <c r="J215" i="10"/>
  <c r="L215" i="10"/>
  <c r="G216" i="10"/>
  <c r="J216" i="10"/>
  <c r="L216" i="10"/>
  <c r="G219" i="10"/>
  <c r="J219" i="10"/>
  <c r="L219" i="10"/>
  <c r="G220" i="10"/>
  <c r="E220" i="10" s="1"/>
  <c r="J220" i="10"/>
  <c r="L220" i="10"/>
  <c r="H224" i="10"/>
  <c r="J224" i="10"/>
  <c r="G231" i="10"/>
  <c r="E231" i="10" s="1"/>
  <c r="J231" i="10"/>
  <c r="L231" i="10"/>
  <c r="G232" i="10"/>
  <c r="H232" i="10" s="1"/>
  <c r="J232" i="10"/>
  <c r="L232" i="10"/>
  <c r="G233" i="10"/>
  <c r="H233" i="10" s="1"/>
  <c r="J233" i="10"/>
  <c r="L233" i="10"/>
  <c r="G234" i="10"/>
  <c r="H234" i="10" s="1"/>
  <c r="I234" i="10"/>
  <c r="J234" i="10" s="1"/>
  <c r="G237" i="10"/>
  <c r="H237" i="10" s="1"/>
  <c r="J237" i="10"/>
  <c r="L237" i="10"/>
  <c r="G238" i="10"/>
  <c r="J238" i="10"/>
  <c r="L238" i="10"/>
  <c r="G241" i="10"/>
  <c r="E241" i="10" s="1"/>
  <c r="J241" i="10"/>
  <c r="L241" i="10"/>
  <c r="G242" i="10"/>
  <c r="J242" i="10"/>
  <c r="L242" i="10"/>
  <c r="G245" i="10"/>
  <c r="E245" i="10" s="1"/>
  <c r="J245" i="10"/>
  <c r="L245" i="10"/>
  <c r="G246" i="10"/>
  <c r="H246" i="10" s="1"/>
  <c r="J246" i="10"/>
  <c r="L246" i="10"/>
  <c r="G249" i="10"/>
  <c r="G253" i="10" s="1"/>
  <c r="J249" i="10"/>
  <c r="L249" i="10"/>
  <c r="G250" i="10"/>
  <c r="E250" i="10" s="1"/>
  <c r="J250" i="10"/>
  <c r="L250" i="10"/>
  <c r="I253" i="10"/>
  <c r="J253" i="10" s="1"/>
  <c r="K253" i="10"/>
  <c r="L253" i="10" s="1"/>
  <c r="I254" i="10"/>
  <c r="J254" i="10" s="1"/>
  <c r="K254" i="10"/>
  <c r="L254" i="10" s="1"/>
  <c r="H257" i="10"/>
  <c r="I257" i="10"/>
  <c r="E257" i="10" s="1"/>
  <c r="L257" i="10"/>
  <c r="H258" i="10"/>
  <c r="I258" i="10"/>
  <c r="J258" i="10" s="1"/>
  <c r="L258" i="10"/>
  <c r="G259" i="10"/>
  <c r="H259" i="10" s="1"/>
  <c r="J259" i="10"/>
  <c r="L259" i="10"/>
  <c r="G260" i="10"/>
  <c r="H260" i="10" s="1"/>
  <c r="J260" i="10"/>
  <c r="L260" i="10"/>
  <c r="H261" i="10"/>
  <c r="J261" i="10"/>
  <c r="H264" i="10"/>
  <c r="I264" i="10"/>
  <c r="E264" i="10" s="1"/>
  <c r="L264" i="10"/>
  <c r="H265" i="10"/>
  <c r="I265" i="10"/>
  <c r="L265" i="10"/>
  <c r="G266" i="10"/>
  <c r="H266" i="10" s="1"/>
  <c r="J266" i="10"/>
  <c r="L266" i="10"/>
  <c r="G267" i="10"/>
  <c r="E267" i="10" s="1"/>
  <c r="J267" i="10"/>
  <c r="L267" i="10"/>
  <c r="H268" i="10"/>
  <c r="J268" i="10"/>
  <c r="H271" i="10"/>
  <c r="I271" i="10"/>
  <c r="J271" i="10" s="1"/>
  <c r="L271" i="10"/>
  <c r="E272" i="10"/>
  <c r="H272" i="10"/>
  <c r="J272" i="10"/>
  <c r="L272" i="10"/>
  <c r="G273" i="10"/>
  <c r="J273" i="10"/>
  <c r="L273" i="10"/>
  <c r="G274" i="10"/>
  <c r="J274" i="10"/>
  <c r="L274" i="10"/>
  <c r="H275" i="10"/>
  <c r="J275" i="10"/>
  <c r="H278" i="10"/>
  <c r="I278" i="10"/>
  <c r="L278" i="10"/>
  <c r="E279" i="10"/>
  <c r="H279" i="10"/>
  <c r="J279" i="10"/>
  <c r="L279" i="10"/>
  <c r="G280" i="10"/>
  <c r="H280" i="10" s="1"/>
  <c r="J280" i="10"/>
  <c r="L280" i="10"/>
  <c r="G281" i="10"/>
  <c r="E281" i="10" s="1"/>
  <c r="J281" i="10"/>
  <c r="L281" i="10"/>
  <c r="H282" i="10"/>
  <c r="J282" i="10"/>
  <c r="H285" i="10"/>
  <c r="I285" i="10"/>
  <c r="J285" i="10" s="1"/>
  <c r="L285" i="10"/>
  <c r="H286" i="10"/>
  <c r="I286" i="10"/>
  <c r="E286" i="10" s="1"/>
  <c r="L286" i="10"/>
  <c r="H287" i="10"/>
  <c r="I287" i="10"/>
  <c r="J287" i="10" s="1"/>
  <c r="L287" i="10"/>
  <c r="H288" i="10"/>
  <c r="I288" i="10"/>
  <c r="E288" i="10" s="1"/>
  <c r="L288" i="10"/>
  <c r="G289" i="10"/>
  <c r="E289" i="10" s="1"/>
  <c r="J289" i="10"/>
  <c r="L289" i="10"/>
  <c r="H290" i="10"/>
  <c r="J290" i="10"/>
  <c r="H291" i="10"/>
  <c r="L291" i="10"/>
  <c r="H294" i="10"/>
  <c r="I294" i="10"/>
  <c r="E294" i="10" s="1"/>
  <c r="L294" i="10"/>
  <c r="H295" i="10"/>
  <c r="I295" i="10"/>
  <c r="J295" i="10" s="1"/>
  <c r="L295" i="10"/>
  <c r="H296" i="10"/>
  <c r="I296" i="10"/>
  <c r="J296" i="10" s="1"/>
  <c r="L296" i="10"/>
  <c r="H297" i="10"/>
  <c r="I297" i="10"/>
  <c r="J297" i="10" s="1"/>
  <c r="L297" i="10"/>
  <c r="H298" i="10"/>
  <c r="I298" i="10"/>
  <c r="J298" i="10" s="1"/>
  <c r="L298" i="10"/>
  <c r="G299" i="10"/>
  <c r="H299" i="10" s="1"/>
  <c r="K300" i="10" s="1"/>
  <c r="J299" i="10"/>
  <c r="L299" i="10"/>
  <c r="H300" i="10"/>
  <c r="J300" i="10"/>
  <c r="H301" i="10"/>
  <c r="L301" i="10"/>
  <c r="H304" i="10"/>
  <c r="I304" i="10"/>
  <c r="J304" i="10" s="1"/>
  <c r="L304" i="10"/>
  <c r="G305" i="10"/>
  <c r="E305" i="10" s="1"/>
  <c r="J305" i="10"/>
  <c r="L305" i="10"/>
  <c r="G306" i="10"/>
  <c r="H306" i="10" s="1"/>
  <c r="J306" i="10"/>
  <c r="L306" i="10"/>
  <c r="G307" i="10"/>
  <c r="E307" i="10" s="1"/>
  <c r="J307" i="10"/>
  <c r="L307" i="10"/>
  <c r="H308" i="10"/>
  <c r="J308" i="10"/>
  <c r="H311" i="10"/>
  <c r="I311" i="10"/>
  <c r="J311" i="10" s="1"/>
  <c r="L311" i="10"/>
  <c r="H312" i="10"/>
  <c r="I312" i="10"/>
  <c r="E312" i="10" s="1"/>
  <c r="L312" i="10"/>
  <c r="H313" i="10"/>
  <c r="I313" i="10"/>
  <c r="E313" i="10" s="1"/>
  <c r="L313" i="10"/>
  <c r="G314" i="10"/>
  <c r="E314" i="10" s="1"/>
  <c r="J314" i="10"/>
  <c r="L314" i="10"/>
  <c r="G315" i="10"/>
  <c r="H315" i="10" s="1"/>
  <c r="J315" i="10"/>
  <c r="L315" i="10"/>
  <c r="G316" i="10"/>
  <c r="E316" i="10" s="1"/>
  <c r="J316" i="10"/>
  <c r="L316" i="10"/>
  <c r="G317" i="10"/>
  <c r="H317" i="10" s="1"/>
  <c r="J317" i="10"/>
  <c r="L317" i="10"/>
  <c r="H318" i="10"/>
  <c r="J318" i="10"/>
  <c r="E319" i="10"/>
  <c r="H319" i="10"/>
  <c r="J319" i="10"/>
  <c r="L319" i="10"/>
  <c r="H320" i="10"/>
  <c r="J320" i="10"/>
  <c r="H323" i="10"/>
  <c r="I323" i="10"/>
  <c r="J323" i="10" s="1"/>
  <c r="L323" i="10"/>
  <c r="H324" i="10"/>
  <c r="I324" i="10"/>
  <c r="E324" i="10" s="1"/>
  <c r="L324" i="10"/>
  <c r="H325" i="10"/>
  <c r="I325" i="10"/>
  <c r="J325" i="10" s="1"/>
  <c r="L325" i="10"/>
  <c r="G326" i="10"/>
  <c r="H326" i="10" s="1"/>
  <c r="J326" i="10"/>
  <c r="L326" i="10"/>
  <c r="G327" i="10"/>
  <c r="H327" i="10" s="1"/>
  <c r="J327" i="10"/>
  <c r="L327" i="10"/>
  <c r="G328" i="10"/>
  <c r="E328" i="10" s="1"/>
  <c r="J328" i="10"/>
  <c r="L328" i="10"/>
  <c r="G329" i="10"/>
  <c r="H329" i="10" s="1"/>
  <c r="J329" i="10"/>
  <c r="L329" i="10"/>
  <c r="H330" i="10"/>
  <c r="J330" i="10"/>
  <c r="E331" i="10"/>
  <c r="H331" i="10"/>
  <c r="J331" i="10"/>
  <c r="L331" i="10"/>
  <c r="H332" i="10"/>
  <c r="J332" i="10"/>
  <c r="G335" i="10"/>
  <c r="E335" i="10" s="1"/>
  <c r="J335" i="10"/>
  <c r="L335" i="10"/>
  <c r="G336" i="10"/>
  <c r="H336" i="10" s="1"/>
  <c r="J336" i="10"/>
  <c r="L336" i="10"/>
  <c r="H337" i="10"/>
  <c r="J337" i="10"/>
  <c r="G338" i="10"/>
  <c r="E338" i="10" s="1"/>
  <c r="H340" i="10"/>
  <c r="I340" i="10"/>
  <c r="E340" i="10" s="1"/>
  <c r="L340" i="10"/>
  <c r="H341" i="10"/>
  <c r="I341" i="10"/>
  <c r="E341" i="10" s="1"/>
  <c r="L341" i="10"/>
  <c r="H342" i="10"/>
  <c r="I342" i="10"/>
  <c r="J342" i="10" s="1"/>
  <c r="L342" i="10"/>
  <c r="H343" i="10"/>
  <c r="I343" i="10"/>
  <c r="E343" i="10" s="1"/>
  <c r="L343" i="10"/>
  <c r="H344" i="10"/>
  <c r="I344" i="10"/>
  <c r="L344" i="10"/>
  <c r="H345" i="10"/>
  <c r="I345" i="10"/>
  <c r="J345" i="10" s="1"/>
  <c r="L345" i="10"/>
  <c r="H346" i="10"/>
  <c r="I346" i="10"/>
  <c r="E346" i="10" s="1"/>
  <c r="L346" i="10"/>
  <c r="H347" i="10"/>
  <c r="G348" i="10"/>
  <c r="E348" i="10" s="1"/>
  <c r="G349" i="10"/>
  <c r="E349" i="10" s="1"/>
  <c r="G351" i="10"/>
  <c r="J351" i="10"/>
  <c r="L351" i="10"/>
  <c r="H354" i="10"/>
  <c r="I354" i="10"/>
  <c r="E354" i="10" s="1"/>
  <c r="L354" i="10"/>
  <c r="H355" i="10"/>
  <c r="I355" i="10"/>
  <c r="E355" i="10" s="1"/>
  <c r="L355" i="10"/>
  <c r="H356" i="10"/>
  <c r="J356" i="10"/>
  <c r="G357" i="10"/>
  <c r="G359" i="10"/>
  <c r="E359" i="10" s="1"/>
  <c r="J359" i="10"/>
  <c r="L359" i="10"/>
  <c r="G360" i="10"/>
  <c r="E360" i="10" s="1"/>
  <c r="J360" i="10"/>
  <c r="L360" i="10"/>
  <c r="G361" i="10"/>
  <c r="H361" i="10" s="1"/>
  <c r="G364" i="10"/>
  <c r="H364" i="10" s="1"/>
  <c r="J364" i="10"/>
  <c r="L364" i="10"/>
  <c r="G365" i="10"/>
  <c r="E365" i="10" s="1"/>
  <c r="J365" i="10"/>
  <c r="L365" i="10"/>
  <c r="J369" i="10"/>
  <c r="L369" i="10"/>
  <c r="J370" i="10"/>
  <c r="L370" i="10"/>
  <c r="G371" i="10"/>
  <c r="H371" i="10" s="1"/>
  <c r="G374" i="10"/>
  <c r="E374" i="10" s="1"/>
  <c r="J374" i="10"/>
  <c r="L374" i="10"/>
  <c r="J375" i="10"/>
  <c r="L375" i="10"/>
  <c r="I380" i="10"/>
  <c r="J380" i="10" s="1"/>
  <c r="K380" i="10"/>
  <c r="L380" i="10" s="1"/>
  <c r="I382" i="10"/>
  <c r="J382" i="10" s="1"/>
  <c r="K382" i="10"/>
  <c r="L382" i="10" s="1"/>
  <c r="G383" i="10"/>
  <c r="H383" i="10" s="1"/>
  <c r="J383" i="10"/>
  <c r="G386" i="10"/>
  <c r="J386" i="10"/>
  <c r="L386" i="10"/>
  <c r="G387" i="10"/>
  <c r="G399" i="10" s="1"/>
  <c r="H399" i="10" s="1"/>
  <c r="J387" i="10"/>
  <c r="L387" i="10"/>
  <c r="H388" i="10"/>
  <c r="J388" i="10"/>
  <c r="J392" i="10"/>
  <c r="L392" i="10"/>
  <c r="J393" i="10"/>
  <c r="L393" i="10"/>
  <c r="H394" i="10"/>
  <c r="J394" i="10"/>
  <c r="J398" i="10"/>
  <c r="L398" i="10"/>
  <c r="J399" i="10"/>
  <c r="L399" i="10"/>
  <c r="H400" i="10"/>
  <c r="J400" i="10"/>
  <c r="J404" i="10"/>
  <c r="L404" i="10"/>
  <c r="J405" i="10"/>
  <c r="L405" i="10"/>
  <c r="H406" i="10"/>
  <c r="J406" i="10"/>
  <c r="J410" i="10"/>
  <c r="L410" i="10"/>
  <c r="J411" i="10"/>
  <c r="L411" i="10"/>
  <c r="H412" i="10"/>
  <c r="J412" i="10"/>
  <c r="J416" i="10"/>
  <c r="L416" i="10"/>
  <c r="J417" i="10"/>
  <c r="L417" i="10"/>
  <c r="H418" i="10"/>
  <c r="J418" i="10"/>
  <c r="J422" i="10"/>
  <c r="L422" i="10"/>
  <c r="J423" i="10"/>
  <c r="L423" i="10"/>
  <c r="H424" i="10"/>
  <c r="J424" i="10"/>
  <c r="J428" i="10"/>
  <c r="L428" i="10"/>
  <c r="J429" i="10"/>
  <c r="L429" i="10"/>
  <c r="H430" i="10"/>
  <c r="J430" i="10"/>
  <c r="J440" i="10"/>
  <c r="L440" i="10"/>
  <c r="J441" i="10"/>
  <c r="K441" i="10"/>
  <c r="L441" i="10" s="1"/>
  <c r="H442" i="10"/>
  <c r="J442" i="10"/>
  <c r="J452" i="10"/>
  <c r="L452" i="10"/>
  <c r="J453" i="10"/>
  <c r="L453" i="10"/>
  <c r="H454" i="10"/>
  <c r="J454" i="10"/>
  <c r="J458" i="10"/>
  <c r="L458" i="10"/>
  <c r="J459" i="10"/>
  <c r="L459" i="10"/>
  <c r="H460" i="10"/>
  <c r="J460" i="10"/>
  <c r="J464" i="10"/>
  <c r="L464" i="10"/>
  <c r="J465" i="10"/>
  <c r="L465" i="10"/>
  <c r="H466" i="10"/>
  <c r="J466" i="10"/>
  <c r="B3" i="11"/>
  <c r="B4" i="11"/>
  <c r="B5" i="11"/>
  <c r="B6" i="11"/>
  <c r="B7" i="11"/>
  <c r="B8" i="11"/>
  <c r="B9" i="11"/>
  <c r="B10" i="11"/>
  <c r="B11" i="11"/>
  <c r="B12" i="11"/>
  <c r="B13" i="11"/>
  <c r="B14" i="11"/>
  <c r="B15" i="11"/>
  <c r="B16" i="11"/>
  <c r="B17" i="11"/>
  <c r="B18" i="11"/>
  <c r="B19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37" i="11"/>
  <c r="B38" i="11"/>
  <c r="B39" i="11"/>
  <c r="B40" i="11"/>
  <c r="B41" i="11"/>
  <c r="B42" i="11"/>
  <c r="B43" i="11"/>
  <c r="B44" i="11"/>
  <c r="B45" i="11"/>
  <c r="B46" i="11"/>
  <c r="B47" i="11"/>
  <c r="B48" i="11"/>
  <c r="B49" i="11"/>
  <c r="B50" i="11"/>
  <c r="B51" i="11"/>
  <c r="B52" i="11"/>
  <c r="B53" i="11"/>
  <c r="B54" i="11"/>
  <c r="B55" i="11"/>
  <c r="B56" i="11"/>
  <c r="B57" i="11"/>
  <c r="B58" i="11"/>
  <c r="B61" i="11"/>
  <c r="B62" i="11"/>
  <c r="F149" i="19" s="1"/>
  <c r="B32" i="20" s="1"/>
  <c r="B63" i="11"/>
  <c r="F153" i="19" s="1"/>
  <c r="B33" i="20" s="1"/>
  <c r="B64" i="11"/>
  <c r="B65" i="11"/>
  <c r="B66" i="11"/>
  <c r="E4" i="19"/>
  <c r="E7" i="19" s="1"/>
  <c r="E10" i="19" s="1"/>
  <c r="E14" i="19" s="1"/>
  <c r="E18" i="19" s="1"/>
  <c r="E21" i="19" s="1"/>
  <c r="E24" i="19" s="1"/>
  <c r="E29" i="19" s="1"/>
  <c r="E33" i="19" s="1"/>
  <c r="E38" i="19" s="1"/>
  <c r="E46" i="19" s="1"/>
  <c r="E54" i="19" s="1"/>
  <c r="E61" i="19" s="1"/>
  <c r="E71" i="19" s="1"/>
  <c r="E77" i="19" s="1"/>
  <c r="E83" i="19" s="1"/>
  <c r="E88" i="19" s="1"/>
  <c r="E93" i="19" s="1"/>
  <c r="E98" i="19" s="1"/>
  <c r="E103" i="19" s="1"/>
  <c r="E108" i="19" s="1"/>
  <c r="E113" i="19" s="1"/>
  <c r="E118" i="19" s="1"/>
  <c r="E123" i="19" s="1"/>
  <c r="E127" i="19" s="1"/>
  <c r="E131" i="19" s="1"/>
  <c r="E139" i="19" s="1"/>
  <c r="E144" i="19" s="1"/>
  <c r="E149" i="19" s="1"/>
  <c r="E153" i="19" s="1"/>
  <c r="E157" i="19" s="1"/>
  <c r="E161" i="19" s="1"/>
  <c r="E166" i="19" s="1"/>
  <c r="E171" i="19" s="1"/>
  <c r="E175" i="19" s="1"/>
  <c r="E180" i="19" s="1"/>
  <c r="E183" i="19" s="1"/>
  <c r="E187" i="19" s="1"/>
  <c r="E190" i="19" s="1"/>
  <c r="E195" i="19" s="1"/>
  <c r="E198" i="19" s="1"/>
  <c r="E203" i="19" s="1"/>
  <c r="E206" i="19" s="1"/>
  <c r="E211" i="19" s="1"/>
  <c r="E214" i="19" s="1"/>
  <c r="G5" i="19"/>
  <c r="E5" i="19" s="1"/>
  <c r="J5" i="19"/>
  <c r="J6" i="19" s="1"/>
  <c r="G4" i="20" s="1"/>
  <c r="L5" i="19"/>
  <c r="L6" i="19" s="1"/>
  <c r="H4" i="20" s="1"/>
  <c r="G11" i="19"/>
  <c r="H11" i="19" s="1"/>
  <c r="J11" i="19"/>
  <c r="L11" i="19"/>
  <c r="G26" i="19"/>
  <c r="E26" i="19" s="1"/>
  <c r="J26" i="19"/>
  <c r="L26" i="19"/>
  <c r="E27" i="19"/>
  <c r="H27" i="19"/>
  <c r="J27" i="19"/>
  <c r="L27" i="19"/>
  <c r="G31" i="19"/>
  <c r="E31" i="19" s="1"/>
  <c r="J31" i="19"/>
  <c r="L31" i="19"/>
  <c r="J35" i="19"/>
  <c r="L35" i="19"/>
  <c r="H39" i="19"/>
  <c r="I39" i="19"/>
  <c r="L39" i="19"/>
  <c r="G41" i="19"/>
  <c r="H41" i="19" s="1"/>
  <c r="I44" i="19" s="1"/>
  <c r="J44" i="19" s="1"/>
  <c r="J41" i="19"/>
  <c r="L41" i="19"/>
  <c r="E43" i="19"/>
  <c r="H43" i="19"/>
  <c r="J43" i="19"/>
  <c r="L43" i="19"/>
  <c r="H44" i="19"/>
  <c r="L44" i="19"/>
  <c r="E47" i="19"/>
  <c r="H47" i="19"/>
  <c r="J47" i="19"/>
  <c r="L47" i="19"/>
  <c r="G48" i="19"/>
  <c r="E48" i="19" s="1"/>
  <c r="J48" i="19"/>
  <c r="L48" i="19"/>
  <c r="G49" i="19"/>
  <c r="H49" i="19" s="1"/>
  <c r="J49" i="19"/>
  <c r="L49" i="19"/>
  <c r="H50" i="19"/>
  <c r="I50" i="19"/>
  <c r="E50" i="19" s="1"/>
  <c r="L50" i="19"/>
  <c r="H55" i="19"/>
  <c r="I55" i="19"/>
  <c r="E55" i="19" s="1"/>
  <c r="L55" i="19"/>
  <c r="G56" i="19"/>
  <c r="H56" i="19" s="1"/>
  <c r="J56" i="19"/>
  <c r="L56" i="19"/>
  <c r="G57" i="19"/>
  <c r="H57" i="19" s="1"/>
  <c r="J57" i="19"/>
  <c r="L57" i="19"/>
  <c r="H58" i="19"/>
  <c r="L58" i="19"/>
  <c r="H62" i="19"/>
  <c r="I62" i="19"/>
  <c r="E62" i="19" s="1"/>
  <c r="L62" i="19"/>
  <c r="H63" i="19"/>
  <c r="I63" i="19"/>
  <c r="E63" i="19" s="1"/>
  <c r="L63" i="19"/>
  <c r="H64" i="19"/>
  <c r="I64" i="19"/>
  <c r="L64" i="19"/>
  <c r="H65" i="19"/>
  <c r="I65" i="19"/>
  <c r="E65" i="19" s="1"/>
  <c r="L65" i="19"/>
  <c r="H66" i="19"/>
  <c r="I66" i="19"/>
  <c r="E66" i="19" s="1"/>
  <c r="L66" i="19"/>
  <c r="G67" i="19"/>
  <c r="E67" i="19" s="1"/>
  <c r="J67" i="19"/>
  <c r="L67" i="19"/>
  <c r="H68" i="19"/>
  <c r="J68" i="19"/>
  <c r="H74" i="19"/>
  <c r="I74" i="19"/>
  <c r="E74" i="19" s="1"/>
  <c r="L74" i="19"/>
  <c r="L78" i="19"/>
  <c r="H80" i="19"/>
  <c r="I80" i="19"/>
  <c r="E80" i="19" s="1"/>
  <c r="L80" i="19"/>
  <c r="H84" i="19"/>
  <c r="L84" i="19"/>
  <c r="J85" i="19"/>
  <c r="L85" i="19"/>
  <c r="H89" i="19"/>
  <c r="L89" i="19"/>
  <c r="J90" i="19"/>
  <c r="L90" i="19"/>
  <c r="H94" i="19"/>
  <c r="L94" i="19"/>
  <c r="J95" i="19"/>
  <c r="L95" i="19"/>
  <c r="H99" i="19"/>
  <c r="L99" i="19"/>
  <c r="J100" i="19"/>
  <c r="L100" i="19"/>
  <c r="J104" i="19"/>
  <c r="F104" i="19" s="1"/>
  <c r="H119" i="19"/>
  <c r="I119" i="19"/>
  <c r="E119" i="19" s="1"/>
  <c r="L119" i="19"/>
  <c r="J121" i="19"/>
  <c r="L121" i="19"/>
  <c r="C124" i="19"/>
  <c r="H132" i="19"/>
  <c r="I132" i="19"/>
  <c r="E132" i="19" s="1"/>
  <c r="L132" i="19"/>
  <c r="H133" i="19"/>
  <c r="I133" i="19"/>
  <c r="E133" i="19" s="1"/>
  <c r="L133" i="19"/>
  <c r="G134" i="19"/>
  <c r="H134" i="19" s="1"/>
  <c r="I134" i="19"/>
  <c r="J134" i="19" s="1"/>
  <c r="K134" i="19"/>
  <c r="L134" i="19" s="1"/>
  <c r="H135" i="19"/>
  <c r="I135" i="19"/>
  <c r="E135" i="19" s="1"/>
  <c r="L135" i="19"/>
  <c r="G136" i="19"/>
  <c r="H136" i="19" s="1"/>
  <c r="I136" i="19"/>
  <c r="J136" i="19" s="1"/>
  <c r="K136" i="19"/>
  <c r="L136" i="19" s="1"/>
  <c r="H141" i="19"/>
  <c r="I141" i="19"/>
  <c r="E141" i="19" s="1"/>
  <c r="L141" i="19"/>
  <c r="G142" i="19"/>
  <c r="H142" i="19" s="1"/>
  <c r="I142" i="19"/>
  <c r="J142" i="19" s="1"/>
  <c r="K142" i="19"/>
  <c r="L142" i="19" s="1"/>
  <c r="G147" i="19"/>
  <c r="H147" i="19" s="1"/>
  <c r="I147" i="19"/>
  <c r="J147" i="19" s="1"/>
  <c r="L147" i="19"/>
  <c r="E151" i="19"/>
  <c r="H151" i="19"/>
  <c r="J151" i="19"/>
  <c r="L151" i="19"/>
  <c r="E155" i="19"/>
  <c r="H155" i="19"/>
  <c r="J155" i="19"/>
  <c r="L155" i="19"/>
  <c r="E163" i="19"/>
  <c r="H163" i="19"/>
  <c r="J163" i="19"/>
  <c r="L163" i="19"/>
  <c r="E168" i="19"/>
  <c r="H168" i="19"/>
  <c r="J168" i="19"/>
  <c r="L168" i="19"/>
  <c r="H172" i="19"/>
  <c r="I172" i="19"/>
  <c r="J172" i="19" s="1"/>
  <c r="L172" i="19"/>
  <c r="E178" i="19"/>
  <c r="H178" i="19"/>
  <c r="J178" i="19"/>
  <c r="L178" i="19"/>
  <c r="E185" i="19"/>
  <c r="H185" i="19"/>
  <c r="J185" i="19"/>
  <c r="L185" i="19"/>
  <c r="E193" i="19"/>
  <c r="H193" i="19"/>
  <c r="J193" i="19"/>
  <c r="L193" i="19"/>
  <c r="E201" i="19"/>
  <c r="H201" i="19"/>
  <c r="J201" i="19"/>
  <c r="L201" i="19"/>
  <c r="E209" i="19"/>
  <c r="H209" i="19"/>
  <c r="J209" i="19"/>
  <c r="L209" i="19"/>
  <c r="E217" i="19"/>
  <c r="H217" i="19"/>
  <c r="J217" i="19"/>
  <c r="L217" i="19"/>
  <c r="E225" i="19"/>
  <c r="H225" i="19"/>
  <c r="J225" i="19"/>
  <c r="L225" i="19"/>
  <c r="E230" i="19"/>
  <c r="H230" i="19"/>
  <c r="J230" i="19"/>
  <c r="L230" i="19"/>
  <c r="E248" i="19"/>
  <c r="H248" i="19"/>
  <c r="J248" i="19"/>
  <c r="L248" i="19"/>
  <c r="E258" i="19"/>
  <c r="H258" i="19"/>
  <c r="J258" i="19"/>
  <c r="L258" i="19"/>
  <c r="H261" i="19"/>
  <c r="I261" i="19"/>
  <c r="L261" i="19"/>
  <c r="J263" i="19"/>
  <c r="L263" i="19"/>
  <c r="J264" i="19"/>
  <c r="L264" i="19"/>
  <c r="H268" i="19"/>
  <c r="I268" i="19"/>
  <c r="E268" i="19" s="1"/>
  <c r="L268" i="19"/>
  <c r="G270" i="19"/>
  <c r="G263" i="19" s="1"/>
  <c r="J270" i="19"/>
  <c r="L270" i="19"/>
  <c r="G271" i="19"/>
  <c r="G278" i="19" s="1"/>
  <c r="J271" i="19"/>
  <c r="L271" i="19"/>
  <c r="H275" i="19"/>
  <c r="J275" i="19"/>
  <c r="L275" i="19"/>
  <c r="J277" i="19"/>
  <c r="L277" i="19"/>
  <c r="J278" i="19"/>
  <c r="L278" i="19"/>
  <c r="H282" i="19"/>
  <c r="I282" i="19"/>
  <c r="J282" i="19" s="1"/>
  <c r="L282" i="19"/>
  <c r="G284" i="19"/>
  <c r="G305" i="19" s="1"/>
  <c r="J284" i="19"/>
  <c r="L284" i="19"/>
  <c r="G285" i="19"/>
  <c r="H285" i="19" s="1"/>
  <c r="J285" i="19"/>
  <c r="L285" i="19"/>
  <c r="H289" i="19"/>
  <c r="I289" i="19"/>
  <c r="E289" i="19" s="1"/>
  <c r="L289" i="19"/>
  <c r="G291" i="19"/>
  <c r="E291" i="19" s="1"/>
  <c r="J291" i="19"/>
  <c r="L291" i="19"/>
  <c r="J292" i="19"/>
  <c r="L292" i="19"/>
  <c r="H296" i="19"/>
  <c r="E296" i="19"/>
  <c r="L296" i="19"/>
  <c r="J298" i="19"/>
  <c r="L298" i="19"/>
  <c r="J299" i="19"/>
  <c r="L299" i="19"/>
  <c r="E303" i="19"/>
  <c r="H303" i="19"/>
  <c r="J303" i="19"/>
  <c r="L303" i="19"/>
  <c r="J305" i="19"/>
  <c r="L305" i="19"/>
  <c r="J306" i="19"/>
  <c r="L306" i="19"/>
  <c r="H310" i="19"/>
  <c r="I310" i="19"/>
  <c r="E310" i="19" s="1"/>
  <c r="L310" i="19"/>
  <c r="J312" i="19"/>
  <c r="L312" i="19"/>
  <c r="J313" i="19"/>
  <c r="L313" i="19"/>
  <c r="H317" i="19"/>
  <c r="E317" i="19"/>
  <c r="L317" i="19"/>
  <c r="J319" i="19"/>
  <c r="L319" i="19"/>
  <c r="J320" i="19"/>
  <c r="L320" i="19"/>
  <c r="H324" i="19"/>
  <c r="I324" i="19"/>
  <c r="L324" i="19"/>
  <c r="G325" i="19"/>
  <c r="H325" i="19" s="1"/>
  <c r="J325" i="19"/>
  <c r="L325" i="19"/>
  <c r="G326" i="19"/>
  <c r="E326" i="19" s="1"/>
  <c r="J326" i="19"/>
  <c r="L326" i="19"/>
  <c r="H329" i="19"/>
  <c r="I329" i="19"/>
  <c r="J329" i="19" s="1"/>
  <c r="L329" i="19"/>
  <c r="G330" i="19"/>
  <c r="E330" i="19" s="1"/>
  <c r="J330" i="19"/>
  <c r="L330" i="19"/>
  <c r="G331" i="19"/>
  <c r="H331" i="19" s="1"/>
  <c r="J331" i="19"/>
  <c r="L331" i="19"/>
  <c r="H334" i="19"/>
  <c r="I334" i="19"/>
  <c r="E334" i="19" s="1"/>
  <c r="L334" i="19"/>
  <c r="G335" i="19"/>
  <c r="H335" i="19" s="1"/>
  <c r="J335" i="19"/>
  <c r="L335" i="19"/>
  <c r="G336" i="19"/>
  <c r="G401" i="19" s="1"/>
  <c r="J336" i="19"/>
  <c r="L336" i="19"/>
  <c r="H339" i="19"/>
  <c r="E339" i="19"/>
  <c r="L339" i="19"/>
  <c r="G340" i="19"/>
  <c r="E340" i="19" s="1"/>
  <c r="J340" i="19"/>
  <c r="L340" i="19"/>
  <c r="G341" i="19"/>
  <c r="H341" i="19" s="1"/>
  <c r="J341" i="19"/>
  <c r="L341" i="19"/>
  <c r="H349" i="19"/>
  <c r="J349" i="19"/>
  <c r="L349" i="19"/>
  <c r="G350" i="19"/>
  <c r="H350" i="19" s="1"/>
  <c r="J350" i="19"/>
  <c r="L350" i="19"/>
  <c r="E355" i="19"/>
  <c r="J355" i="19"/>
  <c r="L355" i="19"/>
  <c r="G356" i="19"/>
  <c r="H356" i="19" s="1"/>
  <c r="J356" i="19"/>
  <c r="L356" i="19"/>
  <c r="J361" i="19"/>
  <c r="L361" i="19"/>
  <c r="J362" i="19"/>
  <c r="L362" i="19"/>
  <c r="C367" i="19"/>
  <c r="L367" i="19" s="1"/>
  <c r="L368" i="19" s="1"/>
  <c r="H75" i="20" s="1"/>
  <c r="G367" i="19"/>
  <c r="I367" i="19"/>
  <c r="H370" i="19"/>
  <c r="I370" i="19"/>
  <c r="J370" i="19" s="1"/>
  <c r="G371" i="19" s="1"/>
  <c r="H371" i="19" s="1"/>
  <c r="L370" i="19"/>
  <c r="J371" i="19"/>
  <c r="L371" i="19"/>
  <c r="H374" i="19"/>
  <c r="I374" i="19"/>
  <c r="J374" i="19" s="1"/>
  <c r="L374" i="19"/>
  <c r="J375" i="19"/>
  <c r="L375" i="19"/>
  <c r="H378" i="19"/>
  <c r="I378" i="19"/>
  <c r="J378" i="19" s="1"/>
  <c r="G379" i="19" s="1"/>
  <c r="H379" i="19" s="1"/>
  <c r="L378" i="19"/>
  <c r="J379" i="19"/>
  <c r="L379" i="19"/>
  <c r="H382" i="19"/>
  <c r="I382" i="19"/>
  <c r="J382" i="19" s="1"/>
  <c r="L382" i="19"/>
  <c r="J383" i="19"/>
  <c r="L383" i="19"/>
  <c r="H386" i="19"/>
  <c r="I386" i="19"/>
  <c r="E386" i="19" s="1"/>
  <c r="L386" i="19"/>
  <c r="J387" i="19"/>
  <c r="L387" i="19"/>
  <c r="H390" i="19"/>
  <c r="I390" i="19"/>
  <c r="E390" i="19" s="1"/>
  <c r="L390" i="19"/>
  <c r="J391" i="19"/>
  <c r="L391" i="19"/>
  <c r="H394" i="19"/>
  <c r="I394" i="19"/>
  <c r="L394" i="19"/>
  <c r="J395" i="19"/>
  <c r="L395" i="19"/>
  <c r="H398" i="19"/>
  <c r="L398" i="19"/>
  <c r="I399" i="19"/>
  <c r="J399" i="19" s="1"/>
  <c r="J400" i="19"/>
  <c r="L400" i="19"/>
  <c r="J401" i="19"/>
  <c r="L401" i="19"/>
  <c r="G404" i="19"/>
  <c r="H404" i="19" s="1"/>
  <c r="G405" i="19"/>
  <c r="I405" i="19"/>
  <c r="J405" i="19" s="1"/>
  <c r="L406" i="19"/>
  <c r="G409" i="19"/>
  <c r="E409" i="19" s="1"/>
  <c r="J409" i="19"/>
  <c r="L409" i="19"/>
  <c r="G410" i="19"/>
  <c r="E410" i="19" s="1"/>
  <c r="J410" i="19"/>
  <c r="L410" i="19"/>
  <c r="L413" i="19"/>
  <c r="G414" i="19"/>
  <c r="G426" i="19" s="1"/>
  <c r="J414" i="19"/>
  <c r="L414" i="19"/>
  <c r="J415" i="19"/>
  <c r="L415" i="19"/>
  <c r="L419" i="19"/>
  <c r="J420" i="19"/>
  <c r="L420" i="19"/>
  <c r="J421" i="19"/>
  <c r="L421" i="19"/>
  <c r="L425" i="19"/>
  <c r="J426" i="19"/>
  <c r="L426" i="19"/>
  <c r="J427" i="19"/>
  <c r="L427" i="19"/>
  <c r="L431" i="19"/>
  <c r="J432" i="19"/>
  <c r="L432" i="19"/>
  <c r="J433" i="19"/>
  <c r="L433" i="19"/>
  <c r="L437" i="19"/>
  <c r="G438" i="19"/>
  <c r="G444" i="19" s="1"/>
  <c r="H444" i="19" s="1"/>
  <c r="J438" i="19"/>
  <c r="L438" i="19"/>
  <c r="G439" i="19"/>
  <c r="E439" i="19" s="1"/>
  <c r="J439" i="19"/>
  <c r="L439" i="19"/>
  <c r="L443" i="19"/>
  <c r="J444" i="19"/>
  <c r="J445" i="19"/>
  <c r="E449" i="19"/>
  <c r="H449" i="19"/>
  <c r="J449" i="19"/>
  <c r="L449" i="19"/>
  <c r="E450" i="19"/>
  <c r="H450" i="19"/>
  <c r="J450" i="19"/>
  <c r="L450" i="19"/>
  <c r="E451" i="19"/>
  <c r="H451" i="19"/>
  <c r="J451" i="19"/>
  <c r="L451" i="19"/>
  <c r="E452" i="19"/>
  <c r="H452" i="19"/>
  <c r="J452" i="19"/>
  <c r="L452" i="19"/>
  <c r="E453" i="19"/>
  <c r="H453" i="19"/>
  <c r="J453" i="19"/>
  <c r="L453" i="19"/>
  <c r="E454" i="19"/>
  <c r="H454" i="19"/>
  <c r="J454" i="19"/>
  <c r="L454" i="19"/>
  <c r="E455" i="19"/>
  <c r="H455" i="19"/>
  <c r="J455" i="19"/>
  <c r="L455" i="19"/>
  <c r="E456" i="19"/>
  <c r="H456" i="19"/>
  <c r="J456" i="19"/>
  <c r="L456" i="19"/>
  <c r="E457" i="19"/>
  <c r="H457" i="19"/>
  <c r="J457" i="19"/>
  <c r="L457" i="19"/>
  <c r="C458" i="19"/>
  <c r="E461" i="19"/>
  <c r="H461" i="19"/>
  <c r="J461" i="19"/>
  <c r="L461" i="19"/>
  <c r="E462" i="19"/>
  <c r="H462" i="19"/>
  <c r="J462" i="19"/>
  <c r="L462" i="19"/>
  <c r="E463" i="19"/>
  <c r="H463" i="19"/>
  <c r="J463" i="19"/>
  <c r="L463" i="19"/>
  <c r="E464" i="19"/>
  <c r="H464" i="19"/>
  <c r="J464" i="19"/>
  <c r="L464" i="19"/>
  <c r="E465" i="19"/>
  <c r="H465" i="19"/>
  <c r="J465" i="19"/>
  <c r="L465" i="19"/>
  <c r="E466" i="19"/>
  <c r="H466" i="19"/>
  <c r="J466" i="19"/>
  <c r="L466" i="19"/>
  <c r="E467" i="19"/>
  <c r="H467" i="19"/>
  <c r="J467" i="19"/>
  <c r="L467" i="19"/>
  <c r="E468" i="19"/>
  <c r="H468" i="19"/>
  <c r="J468" i="19"/>
  <c r="L468" i="19"/>
  <c r="E469" i="19"/>
  <c r="H469" i="19"/>
  <c r="J469" i="19"/>
  <c r="L469" i="19"/>
  <c r="C470" i="19"/>
  <c r="E473" i="19"/>
  <c r="H473" i="19"/>
  <c r="J473" i="19"/>
  <c r="G474" i="19" s="1"/>
  <c r="L473" i="19"/>
  <c r="J474" i="19"/>
  <c r="L474" i="19"/>
  <c r="I478" i="19"/>
  <c r="J478" i="19" s="1"/>
  <c r="K478" i="19"/>
  <c r="H483" i="19"/>
  <c r="I483" i="19"/>
  <c r="J483" i="19" s="1"/>
  <c r="L483" i="19"/>
  <c r="G484" i="19"/>
  <c r="H484" i="19" s="1"/>
  <c r="J484" i="19"/>
  <c r="L484" i="19"/>
  <c r="J485" i="19"/>
  <c r="L485" i="19"/>
  <c r="E486" i="19"/>
  <c r="H486" i="19"/>
  <c r="J486" i="19"/>
  <c r="E487" i="19"/>
  <c r="H487" i="19"/>
  <c r="F487" i="19" s="1"/>
  <c r="H490" i="19"/>
  <c r="I490" i="19"/>
  <c r="E490" i="19" s="1"/>
  <c r="L490" i="19"/>
  <c r="J491" i="19"/>
  <c r="L491" i="19"/>
  <c r="H494" i="19"/>
  <c r="I494" i="19"/>
  <c r="E494" i="19" s="1"/>
  <c r="L494" i="19"/>
  <c r="J495" i="19"/>
  <c r="L495" i="19"/>
  <c r="H498" i="19"/>
  <c r="I498" i="19"/>
  <c r="J498" i="19" s="1"/>
  <c r="G499" i="19" s="1"/>
  <c r="E499" i="19" s="1"/>
  <c r="L498" i="19"/>
  <c r="J499" i="19"/>
  <c r="L499" i="19"/>
  <c r="G504" i="19"/>
  <c r="H504" i="19" s="1"/>
  <c r="J504" i="19"/>
  <c r="K504" i="19"/>
  <c r="L504" i="19" s="1"/>
  <c r="H505" i="19"/>
  <c r="I505" i="19"/>
  <c r="E505" i="19" s="1"/>
  <c r="H513" i="19"/>
  <c r="J513" i="19"/>
  <c r="G514" i="19"/>
  <c r="H514" i="19" s="1"/>
  <c r="E520" i="19"/>
  <c r="H520" i="19"/>
  <c r="J520" i="19"/>
  <c r="L520" i="19"/>
  <c r="E522" i="19"/>
  <c r="H522" i="19"/>
  <c r="J522" i="19"/>
  <c r="L522" i="19"/>
  <c r="E525" i="19"/>
  <c r="H525" i="19"/>
  <c r="J525" i="19"/>
  <c r="L525" i="19"/>
  <c r="E527" i="19"/>
  <c r="H527" i="19"/>
  <c r="J527" i="19"/>
  <c r="L527" i="19"/>
  <c r="E530" i="19"/>
  <c r="H530" i="19"/>
  <c r="J530" i="19"/>
  <c r="L530" i="19"/>
  <c r="E532" i="19"/>
  <c r="H532" i="19"/>
  <c r="J532" i="19"/>
  <c r="L532" i="19"/>
  <c r="H535" i="19"/>
  <c r="I535" i="19"/>
  <c r="J535" i="19" s="1"/>
  <c r="G536" i="19" s="1"/>
  <c r="E536" i="19" s="1"/>
  <c r="L535" i="19"/>
  <c r="J536" i="19"/>
  <c r="L536" i="19"/>
  <c r="H539" i="19"/>
  <c r="I539" i="19"/>
  <c r="E539" i="19" s="1"/>
  <c r="L539" i="19"/>
  <c r="J540" i="19"/>
  <c r="L540" i="19"/>
  <c r="B5" i="20"/>
  <c r="B6" i="20"/>
  <c r="B7" i="20"/>
  <c r="B8" i="20"/>
  <c r="B9" i="20"/>
  <c r="B10" i="20"/>
  <c r="B11" i="20"/>
  <c r="B12" i="20"/>
  <c r="B13" i="20"/>
  <c r="B14" i="20"/>
  <c r="B15" i="20"/>
  <c r="B16" i="20"/>
  <c r="B17" i="20"/>
  <c r="B18" i="20"/>
  <c r="B19" i="20"/>
  <c r="B20" i="20"/>
  <c r="B21" i="20"/>
  <c r="B22" i="20"/>
  <c r="B23" i="20"/>
  <c r="B24" i="20"/>
  <c r="B25" i="20"/>
  <c r="B26" i="20"/>
  <c r="B34" i="20"/>
  <c r="B35" i="20"/>
  <c r="B36" i="20"/>
  <c r="B37" i="20"/>
  <c r="B58" i="20"/>
  <c r="B59" i="20"/>
  <c r="B60" i="20"/>
  <c r="B61" i="20"/>
  <c r="B62" i="20"/>
  <c r="B63" i="20"/>
  <c r="B67" i="20"/>
  <c r="B68" i="20"/>
  <c r="B69" i="20"/>
  <c r="B70" i="20"/>
  <c r="B72" i="20"/>
  <c r="B73" i="20"/>
  <c r="B74" i="20"/>
  <c r="B75" i="20"/>
  <c r="B76" i="20"/>
  <c r="B77" i="20"/>
  <c r="B78" i="20"/>
  <c r="B79" i="20"/>
  <c r="B80" i="20"/>
  <c r="B81" i="20"/>
  <c r="B82" i="20"/>
  <c r="B83" i="20"/>
  <c r="B84" i="20"/>
  <c r="B85" i="20"/>
  <c r="B86" i="20"/>
  <c r="B87" i="20"/>
  <c r="B88" i="20"/>
  <c r="B89" i="20"/>
  <c r="G89" i="20"/>
  <c r="B90" i="20"/>
  <c r="B91" i="20"/>
  <c r="B92" i="20"/>
  <c r="B93" i="20"/>
  <c r="B95" i="20"/>
  <c r="B97" i="20"/>
  <c r="B98" i="20"/>
  <c r="B99" i="20"/>
  <c r="K5" i="44"/>
  <c r="K6" i="44"/>
  <c r="K7" i="44"/>
  <c r="K8" i="44"/>
  <c r="K9" i="44"/>
  <c r="K10" i="44"/>
  <c r="K11" i="44"/>
  <c r="K12" i="44"/>
  <c r="K13" i="44"/>
  <c r="K14" i="44"/>
  <c r="K15" i="44"/>
  <c r="K16" i="44"/>
  <c r="K18" i="44"/>
  <c r="K19" i="44"/>
  <c r="K20" i="44"/>
  <c r="K21" i="44"/>
  <c r="K22" i="44"/>
  <c r="K26" i="44"/>
  <c r="K28" i="44"/>
  <c r="K29" i="44"/>
  <c r="A1" i="27"/>
  <c r="D8" i="35"/>
  <c r="E69" i="10"/>
  <c r="E109" i="10"/>
  <c r="J21" i="15"/>
  <c r="E232" i="10"/>
  <c r="G14" i="16"/>
  <c r="F4" i="14" s="1"/>
  <c r="J8" i="15"/>
  <c r="J354" i="10"/>
  <c r="E275" i="19"/>
  <c r="H249" i="10"/>
  <c r="G140" i="16"/>
  <c r="E148" i="10"/>
  <c r="E13" i="9"/>
  <c r="E15" i="9"/>
  <c r="L444" i="19"/>
  <c r="E156" i="16"/>
  <c r="I156" i="16" s="1"/>
  <c r="L140" i="17"/>
  <c r="L141" i="17" s="1"/>
  <c r="J143" i="17" s="1"/>
  <c r="F144" i="17" s="1"/>
  <c r="F24" i="18" s="1"/>
  <c r="F48" i="16"/>
  <c r="F6" i="14" s="1"/>
  <c r="L8" i="15"/>
  <c r="J114" i="19"/>
  <c r="F114" i="19" s="1"/>
  <c r="E260" i="10"/>
  <c r="D9" i="9"/>
  <c r="H474" i="19"/>
  <c r="E474" i="19"/>
  <c r="L445" i="19"/>
  <c r="D10" i="9"/>
  <c r="D22" i="7"/>
  <c r="G480" i="19" s="1"/>
  <c r="H480" i="19" s="1"/>
  <c r="I15" i="10"/>
  <c r="J15" i="10" s="1"/>
  <c r="F935" i="6"/>
  <c r="F941" i="6" s="1"/>
  <c r="D37" i="7" s="1"/>
  <c r="K311" i="19"/>
  <c r="L311" i="19" s="1"/>
  <c r="F13" i="7"/>
  <c r="F18" i="7"/>
  <c r="E27" i="18" s="1"/>
  <c r="F7" i="7"/>
  <c r="E6" i="18" s="1"/>
  <c r="H434" i="19"/>
  <c r="J446" i="19"/>
  <c r="E564" i="19"/>
  <c r="J434" i="19"/>
  <c r="Q41" i="6" l="1"/>
  <c r="Q75" i="6" s="1"/>
  <c r="Q107" i="6" s="1"/>
  <c r="Q139" i="6" s="1"/>
  <c r="Q171" i="6" s="1"/>
  <c r="C15" i="12"/>
  <c r="H16" i="9"/>
  <c r="K602" i="19"/>
  <c r="L602" i="19" s="1"/>
  <c r="L604" i="19" s="1"/>
  <c r="H121" i="20" s="1"/>
  <c r="E17" i="9"/>
  <c r="J17" i="9" s="1"/>
  <c r="K719" i="19" s="1"/>
  <c r="L719" i="19" s="1"/>
  <c r="F319" i="10"/>
  <c r="I9" i="9"/>
  <c r="I40" i="10" s="1"/>
  <c r="J40" i="10" s="1"/>
  <c r="J41" i="10" s="1"/>
  <c r="G12" i="11" s="1"/>
  <c r="O41" i="6"/>
  <c r="O75" i="6" s="1"/>
  <c r="O107" i="6" s="1"/>
  <c r="O139" i="6" s="1"/>
  <c r="O171" i="6" s="1"/>
  <c r="E39" i="18"/>
  <c r="J39" i="18" s="1"/>
  <c r="K12" i="19" s="1"/>
  <c r="L12" i="19" s="1"/>
  <c r="L13" i="19" s="1"/>
  <c r="H6" i="20" s="1"/>
  <c r="F209" i="19"/>
  <c r="J121" i="17"/>
  <c r="F122" i="17" s="1"/>
  <c r="F21" i="18" s="1"/>
  <c r="K10" i="22"/>
  <c r="G204" i="17" s="1"/>
  <c r="G208" i="17" s="1"/>
  <c r="L569" i="19"/>
  <c r="H114" i="20" s="1"/>
  <c r="F615" i="6"/>
  <c r="F620" i="6" s="1"/>
  <c r="D23" i="7" s="1"/>
  <c r="F118" i="16"/>
  <c r="F11" i="14" s="1"/>
  <c r="D6" i="14"/>
  <c r="I6" i="14" s="1"/>
  <c r="I20" i="15" s="1"/>
  <c r="J20" i="15" s="1"/>
  <c r="J22" i="15" s="1"/>
  <c r="G5" i="13" s="1"/>
  <c r="K83" i="16"/>
  <c r="F84" i="16" s="1"/>
  <c r="F8" i="14" s="1"/>
  <c r="H8" i="14" s="1"/>
  <c r="J5" i="15"/>
  <c r="F5" i="15" s="1"/>
  <c r="F92" i="16"/>
  <c r="F9" i="14" s="1"/>
  <c r="F354" i="10"/>
  <c r="S41" i="6"/>
  <c r="S75" i="6" s="1"/>
  <c r="S107" i="6" s="1"/>
  <c r="S139" i="6" s="1"/>
  <c r="S171" i="6" s="1"/>
  <c r="C12" i="12"/>
  <c r="K389" i="10"/>
  <c r="K659" i="19"/>
  <c r="L659" i="19" s="1"/>
  <c r="L661" i="19" s="1"/>
  <c r="H129" i="20" s="1"/>
  <c r="J313" i="10"/>
  <c r="F313" i="10" s="1"/>
  <c r="C14" i="12"/>
  <c r="L19" i="15"/>
  <c r="D11" i="14"/>
  <c r="I11" i="14" s="1"/>
  <c r="I43" i="15" s="1"/>
  <c r="J43" i="15" s="1"/>
  <c r="L72" i="10"/>
  <c r="H18" i="11" s="1"/>
  <c r="F30" i="16"/>
  <c r="F5" i="14" s="1"/>
  <c r="I5" i="14" s="1"/>
  <c r="I14" i="15" s="1"/>
  <c r="J14" i="15" s="1"/>
  <c r="F159" i="16"/>
  <c r="J157" i="16" s="1"/>
  <c r="E155" i="10"/>
  <c r="E219" i="19"/>
  <c r="E222" i="19" s="1"/>
  <c r="E227" i="19" s="1"/>
  <c r="E232" i="19" s="1"/>
  <c r="E237" i="19" s="1"/>
  <c r="E240" i="19" s="1"/>
  <c r="E245" i="19" s="1"/>
  <c r="E250" i="19" s="1"/>
  <c r="E255" i="19" s="1"/>
  <c r="E260" i="19" s="1"/>
  <c r="E267" i="19" s="1"/>
  <c r="E274" i="19" s="1"/>
  <c r="E281" i="19" s="1"/>
  <c r="E288" i="19" s="1"/>
  <c r="E295" i="19" s="1"/>
  <c r="E302" i="19" s="1"/>
  <c r="E309" i="19" s="1"/>
  <c r="E316" i="19" s="1"/>
  <c r="E323" i="19" s="1"/>
  <c r="E328" i="19" s="1"/>
  <c r="E333" i="19" s="1"/>
  <c r="E338" i="19" s="1"/>
  <c r="E343" i="19" s="1"/>
  <c r="E348" i="19" s="1"/>
  <c r="E354" i="19" s="1"/>
  <c r="E360" i="19" s="1"/>
  <c r="E366" i="19" s="1"/>
  <c r="E369" i="19" s="1"/>
  <c r="E373" i="19" s="1"/>
  <c r="E377" i="19" s="1"/>
  <c r="E381" i="19" s="1"/>
  <c r="E385" i="19" s="1"/>
  <c r="E389" i="19" s="1"/>
  <c r="E393" i="19" s="1"/>
  <c r="E397" i="19" s="1"/>
  <c r="E403" i="19" s="1"/>
  <c r="E408" i="19" s="1"/>
  <c r="E412" i="19" s="1"/>
  <c r="E418" i="19" s="1"/>
  <c r="E424" i="19" s="1"/>
  <c r="E430" i="19" s="1"/>
  <c r="E436" i="19" s="1"/>
  <c r="E442" i="19" s="1"/>
  <c r="E448" i="19" s="1"/>
  <c r="E460" i="19" s="1"/>
  <c r="E472" i="19" s="1"/>
  <c r="E476" i="19" s="1"/>
  <c r="E482" i="19" s="1"/>
  <c r="E489" i="19" s="1"/>
  <c r="E493" i="19" s="1"/>
  <c r="E497" i="19" s="1"/>
  <c r="E501" i="19" s="1"/>
  <c r="E507" i="19" s="1"/>
  <c r="E510" i="19" s="1"/>
  <c r="E516" i="19" s="1"/>
  <c r="E519" i="19" s="1"/>
  <c r="E524" i="19" s="1"/>
  <c r="E529" i="19" s="1"/>
  <c r="E534" i="19" s="1"/>
  <c r="E538" i="19" s="1"/>
  <c r="E542" i="19" s="1"/>
  <c r="E547" i="19" s="1"/>
  <c r="E550" i="19" s="1"/>
  <c r="E554" i="19" s="1"/>
  <c r="E558" i="19" s="1"/>
  <c r="E563" i="19" s="1"/>
  <c r="E570" i="19" s="1"/>
  <c r="E574" i="19" s="1"/>
  <c r="E577" i="19" s="1"/>
  <c r="E582" i="19" s="1"/>
  <c r="E587" i="19" s="1"/>
  <c r="E591" i="19" s="1"/>
  <c r="E597" i="19" s="1"/>
  <c r="E605" i="19" s="1"/>
  <c r="E610" i="19" s="1"/>
  <c r="E614" i="19" s="1"/>
  <c r="E624" i="19" s="1"/>
  <c r="E634" i="19" s="1"/>
  <c r="E642" i="19" s="1"/>
  <c r="E650" i="19" s="1"/>
  <c r="E656" i="19" s="1"/>
  <c r="E662" i="19" s="1"/>
  <c r="E668" i="19" s="1"/>
  <c r="K318" i="10"/>
  <c r="L318" i="10" s="1"/>
  <c r="F318" i="10" s="1"/>
  <c r="K11" i="22"/>
  <c r="E61" i="10"/>
  <c r="I10" i="9"/>
  <c r="I43" i="10" s="1"/>
  <c r="J43" i="10" s="1"/>
  <c r="J44" i="10" s="1"/>
  <c r="G13" i="11" s="1"/>
  <c r="G141" i="16"/>
  <c r="F13" i="14" s="1"/>
  <c r="K41" i="6"/>
  <c r="K75" i="6" s="1"/>
  <c r="K107" i="6" s="1"/>
  <c r="K139" i="6" s="1"/>
  <c r="K171" i="6" s="1"/>
  <c r="D4" i="14"/>
  <c r="I4" i="14" s="1"/>
  <c r="I7" i="15" s="1"/>
  <c r="J7" i="15" s="1"/>
  <c r="H365" i="10"/>
  <c r="F365" i="10" s="1"/>
  <c r="E91" i="10"/>
  <c r="I262" i="19"/>
  <c r="J262" i="19" s="1"/>
  <c r="I665" i="19"/>
  <c r="J665" i="19" s="1"/>
  <c r="J667" i="19" s="1"/>
  <c r="G130" i="20" s="1"/>
  <c r="E85" i="10"/>
  <c r="D8" i="14"/>
  <c r="E210" i="10"/>
  <c r="D21" i="18"/>
  <c r="C33" i="7"/>
  <c r="C10" i="12"/>
  <c r="D9" i="14"/>
  <c r="L18" i="15"/>
  <c r="F18" i="15" s="1"/>
  <c r="J39" i="15"/>
  <c r="F39" i="15" s="1"/>
  <c r="D8" i="18"/>
  <c r="I8" i="18" s="1"/>
  <c r="D25" i="18"/>
  <c r="C32" i="18"/>
  <c r="C33" i="18"/>
  <c r="H314" i="10"/>
  <c r="F314" i="10" s="1"/>
  <c r="I389" i="10"/>
  <c r="I401" i="10" s="1"/>
  <c r="J401" i="10" s="1"/>
  <c r="J402" i="10" s="1"/>
  <c r="G69" i="11" s="1"/>
  <c r="I192" i="19" s="1"/>
  <c r="J192" i="19" s="1"/>
  <c r="I659" i="19"/>
  <c r="C27" i="18"/>
  <c r="C29" i="18"/>
  <c r="G69" i="15"/>
  <c r="E69" i="15" s="1"/>
  <c r="G66" i="15"/>
  <c r="J51" i="15"/>
  <c r="F51" i="15" s="1"/>
  <c r="J6" i="15"/>
  <c r="H305" i="10"/>
  <c r="F305" i="10" s="1"/>
  <c r="E96" i="10"/>
  <c r="E259" i="10"/>
  <c r="E336" i="10"/>
  <c r="E143" i="10"/>
  <c r="E26" i="18"/>
  <c r="E28" i="18" s="1"/>
  <c r="J28" i="18" s="1"/>
  <c r="K511" i="19" s="1"/>
  <c r="K517" i="19" s="1"/>
  <c r="L517" i="19" s="1"/>
  <c r="L518" i="19" s="1"/>
  <c r="H103" i="20" s="1"/>
  <c r="L24" i="15"/>
  <c r="F24" i="15" s="1"/>
  <c r="L38" i="15"/>
  <c r="L50" i="15"/>
  <c r="J13" i="15"/>
  <c r="K352" i="19"/>
  <c r="L352" i="19" s="1"/>
  <c r="J55" i="19"/>
  <c r="I58" i="19" s="1"/>
  <c r="E58" i="19" s="1"/>
  <c r="D294" i="17"/>
  <c r="G292" i="17"/>
  <c r="D296" i="17"/>
  <c r="D292" i="17"/>
  <c r="L157" i="16"/>
  <c r="H289" i="10"/>
  <c r="K290" i="10" s="1"/>
  <c r="E290" i="10" s="1"/>
  <c r="H150" i="17"/>
  <c r="F25" i="18" s="1"/>
  <c r="J122" i="10"/>
  <c r="F122" i="10" s="1"/>
  <c r="J141" i="19"/>
  <c r="F141" i="19" s="1"/>
  <c r="F15" i="9"/>
  <c r="J15" i="9" s="1"/>
  <c r="K228" i="10" s="1"/>
  <c r="L228" i="10" s="1"/>
  <c r="F12" i="15"/>
  <c r="K12" i="22"/>
  <c r="U39" i="6"/>
  <c r="E39" i="6" s="1"/>
  <c r="F39" i="6" s="1"/>
  <c r="J343" i="10"/>
  <c r="F343" i="10" s="1"/>
  <c r="J130" i="10"/>
  <c r="F130" i="10" s="1"/>
  <c r="G167" i="16"/>
  <c r="F14" i="14" s="1"/>
  <c r="J59" i="10"/>
  <c r="J63" i="10" s="1"/>
  <c r="H553" i="19"/>
  <c r="F111" i="20" s="1"/>
  <c r="E271" i="10"/>
  <c r="J500" i="19"/>
  <c r="G99" i="20" s="1"/>
  <c r="E282" i="19"/>
  <c r="J11" i="14"/>
  <c r="K43" i="15" s="1"/>
  <c r="L43" i="15" s="1"/>
  <c r="E56" i="15"/>
  <c r="H50" i="15"/>
  <c r="J27" i="15"/>
  <c r="H21" i="15"/>
  <c r="F21" i="15" s="1"/>
  <c r="J135" i="10"/>
  <c r="G26" i="11" s="1"/>
  <c r="F123" i="10"/>
  <c r="L26" i="10"/>
  <c r="H7" i="11" s="1"/>
  <c r="F61" i="10"/>
  <c r="E53" i="10"/>
  <c r="H147" i="10"/>
  <c r="E364" i="10"/>
  <c r="E342" i="10"/>
  <c r="H160" i="10"/>
  <c r="J67" i="10"/>
  <c r="G17" i="11" s="1"/>
  <c r="F232" i="10"/>
  <c r="F109" i="10"/>
  <c r="H72" i="10"/>
  <c r="F18" i="11" s="1"/>
  <c r="H98" i="10"/>
  <c r="H100" i="10" s="1"/>
  <c r="F23" i="11" s="1"/>
  <c r="H186" i="10"/>
  <c r="F186" i="10" s="1"/>
  <c r="J113" i="10"/>
  <c r="F113" i="10" s="1"/>
  <c r="E57" i="10"/>
  <c r="E287" i="10"/>
  <c r="J257" i="10"/>
  <c r="J262" i="10" s="1"/>
  <c r="G50" i="11" s="1"/>
  <c r="J82" i="10"/>
  <c r="F82" i="10" s="1"/>
  <c r="H133" i="10"/>
  <c r="F133" i="10" s="1"/>
  <c r="J105" i="10"/>
  <c r="F105" i="10" s="1"/>
  <c r="E123" i="10"/>
  <c r="H197" i="10"/>
  <c r="F197" i="10" s="1"/>
  <c r="J120" i="10"/>
  <c r="F120" i="10" s="1"/>
  <c r="F311" i="10"/>
  <c r="J221" i="10"/>
  <c r="G41" i="11" s="1"/>
  <c r="F60" i="10"/>
  <c r="F53" i="10"/>
  <c r="J338" i="10"/>
  <c r="I145" i="19" s="1"/>
  <c r="J309" i="10"/>
  <c r="G56" i="11" s="1"/>
  <c r="F299" i="10"/>
  <c r="H302" i="10"/>
  <c r="F55" i="11" s="1"/>
  <c r="F280" i="10"/>
  <c r="F271" i="10"/>
  <c r="F258" i="10"/>
  <c r="J157" i="10"/>
  <c r="G30" i="11" s="1"/>
  <c r="H131" i="10"/>
  <c r="F25" i="11" s="1"/>
  <c r="F106" i="10"/>
  <c r="L117" i="10"/>
  <c r="H24" i="11" s="1"/>
  <c r="F96" i="10"/>
  <c r="J11" i="10"/>
  <c r="G4" i="11" s="1"/>
  <c r="J7" i="10"/>
  <c r="G3" i="11" s="1"/>
  <c r="E298" i="10"/>
  <c r="E104" i="10"/>
  <c r="E60" i="10"/>
  <c r="E311" i="10"/>
  <c r="J608" i="19"/>
  <c r="J294" i="10"/>
  <c r="I301" i="10" s="1"/>
  <c r="J301" i="10" s="1"/>
  <c r="F301" i="10" s="1"/>
  <c r="E171" i="10"/>
  <c r="J133" i="19"/>
  <c r="F133" i="19" s="1"/>
  <c r="J286" i="10"/>
  <c r="F286" i="10" s="1"/>
  <c r="J324" i="10"/>
  <c r="J127" i="10"/>
  <c r="F127" i="10" s="1"/>
  <c r="F551" i="19"/>
  <c r="J488" i="19"/>
  <c r="G96" i="20" s="1"/>
  <c r="F151" i="19"/>
  <c r="K479" i="19"/>
  <c r="L479" i="19" s="1"/>
  <c r="E12" i="18"/>
  <c r="E17" i="18" s="1"/>
  <c r="J17" i="18" s="1"/>
  <c r="E336" i="19"/>
  <c r="E551" i="19"/>
  <c r="J66" i="19"/>
  <c r="F66" i="19" s="1"/>
  <c r="J62" i="19"/>
  <c r="F62" i="19" s="1"/>
  <c r="E444" i="19"/>
  <c r="J119" i="19"/>
  <c r="E121" i="19" s="1"/>
  <c r="J390" i="19"/>
  <c r="G391" i="19" s="1"/>
  <c r="H391" i="19" s="1"/>
  <c r="F391" i="19" s="1"/>
  <c r="F565" i="19"/>
  <c r="G361" i="19"/>
  <c r="E361" i="19" s="1"/>
  <c r="H336" i="19"/>
  <c r="F336" i="19" s="1"/>
  <c r="E271" i="19"/>
  <c r="E565" i="19"/>
  <c r="H536" i="19"/>
  <c r="F536" i="19" s="1"/>
  <c r="E356" i="19"/>
  <c r="D12" i="14"/>
  <c r="D39" i="18"/>
  <c r="I39" i="18" s="1"/>
  <c r="I12" i="19" s="1"/>
  <c r="J12" i="19" s="1"/>
  <c r="J13" i="19" s="1"/>
  <c r="G6" i="20" s="1"/>
  <c r="J110" i="10"/>
  <c r="F110" i="10" s="1"/>
  <c r="J125" i="10"/>
  <c r="F125" i="10" s="1"/>
  <c r="E258" i="10"/>
  <c r="D35" i="18"/>
  <c r="E106" i="10"/>
  <c r="E374" i="19"/>
  <c r="H387" i="10"/>
  <c r="F387" i="10" s="1"/>
  <c r="H153" i="10"/>
  <c r="E304" i="10"/>
  <c r="E62" i="10"/>
  <c r="H316" i="10"/>
  <c r="F316" i="10" s="1"/>
  <c r="F326" i="10"/>
  <c r="F317" i="10"/>
  <c r="F209" i="10"/>
  <c r="F204" i="10"/>
  <c r="E387" i="10"/>
  <c r="E70" i="10"/>
  <c r="J83" i="10"/>
  <c r="F83" i="10" s="1"/>
  <c r="J341" i="10"/>
  <c r="F341" i="10" s="1"/>
  <c r="F16" i="10"/>
  <c r="E134" i="10"/>
  <c r="J102" i="10"/>
  <c r="F102" i="10" s="1"/>
  <c r="H172" i="10"/>
  <c r="F172" i="10" s="1"/>
  <c r="E74" i="10"/>
  <c r="G78" i="10"/>
  <c r="E299" i="10"/>
  <c r="J51" i="10"/>
  <c r="F51" i="10" s="1"/>
  <c r="F249" i="10"/>
  <c r="F57" i="10"/>
  <c r="H166" i="10"/>
  <c r="E266" i="10"/>
  <c r="J121" i="10"/>
  <c r="F121" i="10" s="1"/>
  <c r="H75" i="10"/>
  <c r="F75" i="10" s="1"/>
  <c r="G79" i="10"/>
  <c r="E90" i="10"/>
  <c r="I71" i="10"/>
  <c r="J71" i="10" s="1"/>
  <c r="F71" i="10" s="1"/>
  <c r="F246" i="10"/>
  <c r="F233" i="10"/>
  <c r="J217" i="10"/>
  <c r="G40" i="11" s="1"/>
  <c r="F70" i="10"/>
  <c r="F62" i="10"/>
  <c r="F58" i="10"/>
  <c r="F17" i="10"/>
  <c r="L11" i="10"/>
  <c r="H4" i="11" s="1"/>
  <c r="F5" i="10"/>
  <c r="F173" i="10"/>
  <c r="H154" i="10"/>
  <c r="F143" i="10"/>
  <c r="F142" i="10"/>
  <c r="F111" i="10"/>
  <c r="F91" i="10"/>
  <c r="L100" i="10"/>
  <c r="H23" i="11" s="1"/>
  <c r="F85" i="10"/>
  <c r="J107" i="10"/>
  <c r="F107" i="10" s="1"/>
  <c r="E58" i="10"/>
  <c r="J84" i="10"/>
  <c r="F84" i="10" s="1"/>
  <c r="H360" i="10"/>
  <c r="F360" i="10" s="1"/>
  <c r="E111" i="10"/>
  <c r="J264" i="10"/>
  <c r="F264" i="10" s="1"/>
  <c r="E297" i="10"/>
  <c r="E204" i="10"/>
  <c r="J355" i="10"/>
  <c r="F355" i="10" s="1"/>
  <c r="E17" i="10"/>
  <c r="E173" i="10"/>
  <c r="E103" i="10"/>
  <c r="H14" i="10"/>
  <c r="F14" i="10" s="1"/>
  <c r="E142" i="10"/>
  <c r="J346" i="10"/>
  <c r="F346" i="10" s="1"/>
  <c r="J126" i="10"/>
  <c r="F126" i="10" s="1"/>
  <c r="E172" i="19"/>
  <c r="F282" i="19"/>
  <c r="J557" i="19"/>
  <c r="G112" i="20" s="1"/>
  <c r="J494" i="19"/>
  <c r="G495" i="19" s="1"/>
  <c r="H495" i="19" s="1"/>
  <c r="F495" i="19" s="1"/>
  <c r="E327" i="6"/>
  <c r="H137" i="10"/>
  <c r="F137" i="10" s="1"/>
  <c r="E154" i="10"/>
  <c r="G370" i="10"/>
  <c r="G375" i="10" s="1"/>
  <c r="H375" i="10" s="1"/>
  <c r="K162" i="10"/>
  <c r="E162" i="10" s="1"/>
  <c r="K150" i="10"/>
  <c r="E150" i="10" s="1"/>
  <c r="E61" i="15"/>
  <c r="F738" i="6"/>
  <c r="E13" i="14"/>
  <c r="J13" i="14" s="1"/>
  <c r="K49" i="15" s="1"/>
  <c r="L49" i="15" s="1"/>
  <c r="E7" i="14"/>
  <c r="J7" i="14" s="1"/>
  <c r="K32" i="15" s="1"/>
  <c r="L32" i="15" s="1"/>
  <c r="E5" i="14"/>
  <c r="E14" i="14"/>
  <c r="E13" i="18"/>
  <c r="J13" i="18" s="1"/>
  <c r="E10" i="18"/>
  <c r="J10" i="18" s="1"/>
  <c r="E18" i="18"/>
  <c r="J18" i="18" s="1"/>
  <c r="K200" i="10"/>
  <c r="L200" i="10" s="1"/>
  <c r="E19" i="18"/>
  <c r="J19" i="18" s="1"/>
  <c r="K22" i="19" s="1"/>
  <c r="L22" i="19" s="1"/>
  <c r="L23" i="19" s="1"/>
  <c r="H9" i="20" s="1"/>
  <c r="G296" i="17"/>
  <c r="G294" i="17"/>
  <c r="J6" i="18"/>
  <c r="F12" i="18"/>
  <c r="F14" i="18"/>
  <c r="L139" i="10"/>
  <c r="H27" i="11" s="1"/>
  <c r="F331" i="10"/>
  <c r="L147" i="10"/>
  <c r="J76" i="10"/>
  <c r="G19" i="11" s="1"/>
  <c r="F25" i="10"/>
  <c r="G59" i="11"/>
  <c r="F203" i="10"/>
  <c r="F555" i="19"/>
  <c r="I398" i="19"/>
  <c r="J398" i="19" s="1"/>
  <c r="F398" i="19" s="1"/>
  <c r="G420" i="19"/>
  <c r="H420" i="19" s="1"/>
  <c r="F420" i="19" s="1"/>
  <c r="J386" i="19"/>
  <c r="G387" i="19" s="1"/>
  <c r="H387" i="19" s="1"/>
  <c r="H388" i="19" s="1"/>
  <c r="F80" i="20" s="1"/>
  <c r="G362" i="19"/>
  <c r="H362" i="19" s="1"/>
  <c r="F362" i="19" s="1"/>
  <c r="E370" i="19"/>
  <c r="J268" i="19"/>
  <c r="F268" i="19" s="1"/>
  <c r="J310" i="19"/>
  <c r="F310" i="19" s="1"/>
  <c r="J80" i="19"/>
  <c r="F80" i="19" s="1"/>
  <c r="G415" i="19"/>
  <c r="G427" i="19" s="1"/>
  <c r="H427" i="19" s="1"/>
  <c r="F427" i="19" s="1"/>
  <c r="J372" i="19"/>
  <c r="G76" i="20" s="1"/>
  <c r="J334" i="19"/>
  <c r="J337" i="19" s="1"/>
  <c r="G69" i="20" s="1"/>
  <c r="E498" i="19"/>
  <c r="J74" i="19"/>
  <c r="L500" i="19"/>
  <c r="H99" i="20" s="1"/>
  <c r="F178" i="19"/>
  <c r="F56" i="19"/>
  <c r="E567" i="19"/>
  <c r="F44" i="19"/>
  <c r="F356" i="19"/>
  <c r="E56" i="19"/>
  <c r="E552" i="19"/>
  <c r="E382" i="19"/>
  <c r="J317" i="19"/>
  <c r="F317" i="19" s="1"/>
  <c r="E484" i="19"/>
  <c r="H26" i="19"/>
  <c r="F26" i="19" s="1"/>
  <c r="E329" i="19"/>
  <c r="H340" i="19"/>
  <c r="F340" i="19" s="1"/>
  <c r="E378" i="19"/>
  <c r="G277" i="19"/>
  <c r="H277" i="19" s="1"/>
  <c r="F277" i="19" s="1"/>
  <c r="J380" i="19"/>
  <c r="G78" i="20" s="1"/>
  <c r="J132" i="19"/>
  <c r="F132" i="19" s="1"/>
  <c r="H567" i="19"/>
  <c r="H569" i="19" s="1"/>
  <c r="H67" i="19"/>
  <c r="F67" i="19" s="1"/>
  <c r="E104" i="19"/>
  <c r="J50" i="19"/>
  <c r="E109" i="19"/>
  <c r="K347" i="10"/>
  <c r="L347" i="10" s="1"/>
  <c r="L348" i="10" s="1"/>
  <c r="L349" i="10" s="1"/>
  <c r="H60" i="11" s="1"/>
  <c r="K146" i="19" s="1"/>
  <c r="L146" i="19" s="1"/>
  <c r="F342" i="10"/>
  <c r="F336" i="10"/>
  <c r="F323" i="10"/>
  <c r="L221" i="10"/>
  <c r="H41" i="11" s="1"/>
  <c r="K164" i="19" s="1"/>
  <c r="J139" i="10"/>
  <c r="G27" i="11" s="1"/>
  <c r="F104" i="10"/>
  <c r="F6" i="10"/>
  <c r="L19" i="10"/>
  <c r="H5" i="11" s="1"/>
  <c r="F325" i="10"/>
  <c r="F315" i="10"/>
  <c r="F306" i="10"/>
  <c r="F287" i="10"/>
  <c r="F272" i="10"/>
  <c r="F260" i="10"/>
  <c r="F237" i="10"/>
  <c r="L160" i="10"/>
  <c r="L154" i="10"/>
  <c r="L148" i="10"/>
  <c r="F99" i="10"/>
  <c r="J94" i="10"/>
  <c r="G22" i="11" s="1"/>
  <c r="L54" i="10"/>
  <c r="H15" i="11" s="1"/>
  <c r="F304" i="10"/>
  <c r="F296" i="10"/>
  <c r="F210" i="10"/>
  <c r="F103" i="10"/>
  <c r="L67" i="10"/>
  <c r="H17" i="11" s="1"/>
  <c r="C24" i="18"/>
  <c r="C10" i="14"/>
  <c r="C12" i="14"/>
  <c r="C35" i="18"/>
  <c r="F359" i="6"/>
  <c r="F365" i="6" s="1"/>
  <c r="F386" i="6" s="1"/>
  <c r="C21" i="18"/>
  <c r="E414" i="19"/>
  <c r="H9" i="10"/>
  <c r="F9" i="10" s="1"/>
  <c r="H439" i="19"/>
  <c r="F439" i="19" s="1"/>
  <c r="H13" i="10"/>
  <c r="H374" i="10"/>
  <c r="F374" i="10" s="1"/>
  <c r="H250" i="10"/>
  <c r="F250" i="10" s="1"/>
  <c r="E246" i="10"/>
  <c r="E317" i="10"/>
  <c r="H13" i="15"/>
  <c r="H410" i="19"/>
  <c r="F410" i="19" s="1"/>
  <c r="H414" i="19"/>
  <c r="F414" i="19" s="1"/>
  <c r="H5" i="19"/>
  <c r="H6" i="19" s="1"/>
  <c r="F6" i="19" s="1"/>
  <c r="H31" i="19"/>
  <c r="F31" i="19" s="1"/>
  <c r="H38" i="15"/>
  <c r="E25" i="10"/>
  <c r="H47" i="10"/>
  <c r="F47" i="10" s="1"/>
  <c r="E233" i="10"/>
  <c r="E209" i="10"/>
  <c r="E326" i="10"/>
  <c r="H335" i="10"/>
  <c r="F335" i="10" s="1"/>
  <c r="H92" i="10"/>
  <c r="F92" i="10" s="1"/>
  <c r="E65" i="10"/>
  <c r="E8" i="9"/>
  <c r="J8" i="9" s="1"/>
  <c r="K37" i="10" s="1"/>
  <c r="L37" i="10" s="1"/>
  <c r="L38" i="10" s="1"/>
  <c r="H11" i="11" s="1"/>
  <c r="E9" i="9"/>
  <c r="J9" i="9" s="1"/>
  <c r="K40" i="10" s="1"/>
  <c r="L40" i="10" s="1"/>
  <c r="L41" i="10" s="1"/>
  <c r="H12" i="11" s="1"/>
  <c r="E111" i="6"/>
  <c r="D16" i="18"/>
  <c r="I16" i="18" s="1"/>
  <c r="D15" i="18"/>
  <c r="I15" i="18" s="1"/>
  <c r="D5" i="18"/>
  <c r="I5" i="18" s="1"/>
  <c r="D38" i="18"/>
  <c r="I38" i="18" s="1"/>
  <c r="D37" i="18"/>
  <c r="I37" i="18" s="1"/>
  <c r="D4" i="18"/>
  <c r="I4" i="18" s="1"/>
  <c r="D7" i="18"/>
  <c r="I7" i="18" s="1"/>
  <c r="D23" i="18"/>
  <c r="F198" i="6"/>
  <c r="F205" i="6" s="1"/>
  <c r="D10" i="7" s="1"/>
  <c r="E37" i="6"/>
  <c r="H245" i="10"/>
  <c r="F245" i="10" s="1"/>
  <c r="H231" i="10"/>
  <c r="G400" i="19"/>
  <c r="H400" i="19" s="1"/>
  <c r="F400" i="19" s="1"/>
  <c r="E237" i="10"/>
  <c r="E284" i="19"/>
  <c r="E335" i="19"/>
  <c r="H48" i="19"/>
  <c r="E49" i="19"/>
  <c r="E315" i="10"/>
  <c r="E99" i="10"/>
  <c r="F341" i="19"/>
  <c r="E96" i="15"/>
  <c r="E341" i="19"/>
  <c r="E57" i="19"/>
  <c r="H180" i="10"/>
  <c r="F180" i="10" s="1"/>
  <c r="J475" i="19"/>
  <c r="G94" i="20" s="1"/>
  <c r="L392" i="19"/>
  <c r="H81" i="20" s="1"/>
  <c r="F545" i="19"/>
  <c r="F235" i="19"/>
  <c r="L327" i="19"/>
  <c r="H67" i="20" s="1"/>
  <c r="F325" i="19"/>
  <c r="F275" i="19"/>
  <c r="M41" i="6"/>
  <c r="M75" i="6" s="1"/>
  <c r="F781" i="6"/>
  <c r="D30" i="7" s="1"/>
  <c r="M73" i="6"/>
  <c r="M105" i="6" s="1"/>
  <c r="M137" i="6" s="1"/>
  <c r="M169" i="6" s="1"/>
  <c r="E34" i="18"/>
  <c r="J34" i="18" s="1"/>
  <c r="C10" i="9"/>
  <c r="H10" i="9" s="1"/>
  <c r="G43" i="10" s="1"/>
  <c r="E12" i="9"/>
  <c r="J12" i="9" s="1"/>
  <c r="F877" i="6"/>
  <c r="F898" i="6" s="1"/>
  <c r="J26" i="18"/>
  <c r="K502" i="19" s="1"/>
  <c r="K508" i="19" s="1"/>
  <c r="L508" i="19" s="1"/>
  <c r="L509" i="19" s="1"/>
  <c r="H101" i="20" s="1"/>
  <c r="F928" i="6"/>
  <c r="F36" i="7" s="1"/>
  <c r="F397" i="6"/>
  <c r="F418" i="6" s="1"/>
  <c r="F493" i="6"/>
  <c r="F237" i="6"/>
  <c r="D11" i="7" s="1"/>
  <c r="F482" i="6"/>
  <c r="K261" i="10"/>
  <c r="L261" i="10" s="1"/>
  <c r="F261" i="10" s="1"/>
  <c r="F259" i="10"/>
  <c r="H262" i="10"/>
  <c r="F50" i="11" s="1"/>
  <c r="H241" i="10"/>
  <c r="F241" i="10" s="1"/>
  <c r="H192" i="10"/>
  <c r="F192" i="10" s="1"/>
  <c r="H7" i="10"/>
  <c r="F3" i="11" s="1"/>
  <c r="F610" i="6"/>
  <c r="F483" i="19"/>
  <c r="F378" i="19"/>
  <c r="J376" i="19"/>
  <c r="G77" i="20" s="1"/>
  <c r="F248" i="19"/>
  <c r="F147" i="19"/>
  <c r="F552" i="19"/>
  <c r="L562" i="19"/>
  <c r="F564" i="19"/>
  <c r="F566" i="19"/>
  <c r="J384" i="19"/>
  <c r="G79" i="20" s="1"/>
  <c r="G383" i="19"/>
  <c r="E383" i="19" s="1"/>
  <c r="E401" i="19"/>
  <c r="H401" i="19"/>
  <c r="F401" i="19" s="1"/>
  <c r="F329" i="19"/>
  <c r="J332" i="19"/>
  <c r="G68" i="20" s="1"/>
  <c r="E559" i="19"/>
  <c r="F498" i="19"/>
  <c r="J304" i="19"/>
  <c r="F474" i="19"/>
  <c r="E555" i="19"/>
  <c r="J339" i="19"/>
  <c r="F339" i="19" s="1"/>
  <c r="E350" i="19"/>
  <c r="H409" i="19"/>
  <c r="F409" i="19" s="1"/>
  <c r="E142" i="19"/>
  <c r="J490" i="19"/>
  <c r="J492" i="19" s="1"/>
  <c r="G97" i="20" s="1"/>
  <c r="K513" i="19"/>
  <c r="E513" i="19" s="1"/>
  <c r="J135" i="19"/>
  <c r="F135" i="19" s="1"/>
  <c r="E285" i="19"/>
  <c r="H271" i="19"/>
  <c r="F271" i="19" s="1"/>
  <c r="G264" i="19"/>
  <c r="H264" i="19" s="1"/>
  <c r="F264" i="19" s="1"/>
  <c r="H326" i="19"/>
  <c r="F326" i="19" s="1"/>
  <c r="J63" i="19"/>
  <c r="F63" i="19" s="1"/>
  <c r="F486" i="19"/>
  <c r="F467" i="19"/>
  <c r="F452" i="19"/>
  <c r="F449" i="19"/>
  <c r="F382" i="19"/>
  <c r="H406" i="19"/>
  <c r="E406" i="19"/>
  <c r="F466" i="19"/>
  <c r="F463" i="19"/>
  <c r="F453" i="19"/>
  <c r="L380" i="19"/>
  <c r="H78" i="20" s="1"/>
  <c r="H367" i="19"/>
  <c r="H368" i="19" s="1"/>
  <c r="F172" i="19"/>
  <c r="F41" i="19"/>
  <c r="H475" i="19"/>
  <c r="F94" i="20" s="1"/>
  <c r="L492" i="19"/>
  <c r="H97" i="20" s="1"/>
  <c r="F943" i="6"/>
  <c r="E945" i="6" s="1"/>
  <c r="F945" i="6" s="1"/>
  <c r="F951" i="6" s="1"/>
  <c r="E37" i="7" s="1"/>
  <c r="I379" i="10" s="1"/>
  <c r="J379" i="10" s="1"/>
  <c r="J384" i="10" s="1"/>
  <c r="G66" i="11" s="1"/>
  <c r="I173" i="19" s="1"/>
  <c r="J173" i="19" s="1"/>
  <c r="J174" i="19" s="1"/>
  <c r="G37" i="20" s="1"/>
  <c r="E1007" i="6"/>
  <c r="E231" i="6"/>
  <c r="F295" i="6"/>
  <c r="F301" i="6" s="1"/>
  <c r="D13" i="7" s="1"/>
  <c r="C13" i="7" s="1"/>
  <c r="C39" i="18"/>
  <c r="H39" i="18" s="1"/>
  <c r="G12" i="19" s="1"/>
  <c r="F5" i="6"/>
  <c r="E679" i="6"/>
  <c r="E839" i="6"/>
  <c r="E349" i="19"/>
  <c r="G35" i="19"/>
  <c r="H35" i="19" s="1"/>
  <c r="F35" i="19" s="1"/>
  <c r="H86" i="10"/>
  <c r="F86" i="10" s="1"/>
  <c r="H27" i="15"/>
  <c r="E270" i="19"/>
  <c r="H355" i="19"/>
  <c r="F355" i="19" s="1"/>
  <c r="K168" i="10"/>
  <c r="H270" i="19"/>
  <c r="F270" i="19" s="1"/>
  <c r="K156" i="10"/>
  <c r="E156" i="10" s="1"/>
  <c r="E438" i="19"/>
  <c r="H438" i="19"/>
  <c r="F438" i="19" s="1"/>
  <c r="H138" i="10"/>
  <c r="H6" i="15"/>
  <c r="F6" i="15" s="1"/>
  <c r="E64" i="15"/>
  <c r="E249" i="10"/>
  <c r="G254" i="10"/>
  <c r="H254" i="10" s="1"/>
  <c r="F254" i="10" s="1"/>
  <c r="E11" i="19"/>
  <c r="E41" i="19"/>
  <c r="E325" i="19"/>
  <c r="E21" i="15"/>
  <c r="E187" i="10"/>
  <c r="H66" i="10"/>
  <c r="H220" i="10"/>
  <c r="F220" i="10" s="1"/>
  <c r="E6" i="10"/>
  <c r="H328" i="10"/>
  <c r="F328" i="10" s="1"/>
  <c r="H74" i="10"/>
  <c r="F74" i="10" s="1"/>
  <c r="H61" i="15"/>
  <c r="F61" i="15" s="1"/>
  <c r="J447" i="19"/>
  <c r="G91" i="20" s="1"/>
  <c r="F444" i="19"/>
  <c r="F484" i="19"/>
  <c r="F469" i="19"/>
  <c r="F468" i="19"/>
  <c r="F457" i="19"/>
  <c r="F455" i="19"/>
  <c r="F454" i="19"/>
  <c r="L384" i="19"/>
  <c r="H79" i="20" s="1"/>
  <c r="L372" i="19"/>
  <c r="H76" i="20" s="1"/>
  <c r="F349" i="19"/>
  <c r="F285" i="19"/>
  <c r="F230" i="19"/>
  <c r="F225" i="19"/>
  <c r="F217" i="19"/>
  <c r="F193" i="19"/>
  <c r="F185" i="19"/>
  <c r="F57" i="19"/>
  <c r="F47" i="19"/>
  <c r="J539" i="19"/>
  <c r="J541" i="19" s="1"/>
  <c r="G108" i="20" s="1"/>
  <c r="L541" i="19"/>
  <c r="H108" i="20" s="1"/>
  <c r="F532" i="19"/>
  <c r="F527" i="19"/>
  <c r="F525" i="19"/>
  <c r="F522" i="19"/>
  <c r="L475" i="19"/>
  <c r="H94" i="20" s="1"/>
  <c r="F473" i="19"/>
  <c r="L411" i="19"/>
  <c r="H85" i="20" s="1"/>
  <c r="L402" i="19"/>
  <c r="H83" i="20" s="1"/>
  <c r="L396" i="19"/>
  <c r="H82" i="20" s="1"/>
  <c r="L388" i="19"/>
  <c r="H80" i="20" s="1"/>
  <c r="L337" i="19"/>
  <c r="H69" i="20" s="1"/>
  <c r="F331" i="19"/>
  <c r="L332" i="19"/>
  <c r="H68" i="20" s="1"/>
  <c r="F168" i="19"/>
  <c r="F27" i="19"/>
  <c r="F243" i="19"/>
  <c r="J553" i="19"/>
  <c r="G111" i="20" s="1"/>
  <c r="E379" i="19"/>
  <c r="E4" i="18"/>
  <c r="J4" i="18" s="1"/>
  <c r="E16" i="18"/>
  <c r="J16" i="18" s="1"/>
  <c r="E23" i="18"/>
  <c r="E8" i="18"/>
  <c r="J8" i="18" s="1"/>
  <c r="E330" i="10"/>
  <c r="L330" i="10"/>
  <c r="F330" i="10" s="1"/>
  <c r="F551" i="6"/>
  <c r="F557" i="6" s="1"/>
  <c r="E551" i="6"/>
  <c r="F525" i="6"/>
  <c r="E22" i="18"/>
  <c r="J22" i="18" s="1"/>
  <c r="E6" i="9"/>
  <c r="J6" i="9" s="1"/>
  <c r="K31" i="10" s="1"/>
  <c r="L31" i="10" s="1"/>
  <c r="L32" i="10" s="1"/>
  <c r="H9" i="11" s="1"/>
  <c r="K19" i="19" s="1"/>
  <c r="L19" i="19" s="1"/>
  <c r="L20" i="19" s="1"/>
  <c r="H8" i="20" s="1"/>
  <c r="E14" i="18"/>
  <c r="J14" i="18" s="1"/>
  <c r="E5" i="9"/>
  <c r="J5" i="9" s="1"/>
  <c r="K28" i="10" s="1"/>
  <c r="L28" i="10" s="1"/>
  <c r="L29" i="10" s="1"/>
  <c r="H8" i="11" s="1"/>
  <c r="K15" i="19" s="1"/>
  <c r="L247" i="10"/>
  <c r="H47" i="11" s="1"/>
  <c r="K105" i="19" s="1"/>
  <c r="L105" i="19" s="1"/>
  <c r="L239" i="10"/>
  <c r="C22" i="7"/>
  <c r="E7" i="9"/>
  <c r="J7" i="9" s="1"/>
  <c r="K34" i="10" s="1"/>
  <c r="L34" i="10" s="1"/>
  <c r="L35" i="10" s="1"/>
  <c r="D33" i="18"/>
  <c r="D10" i="14"/>
  <c r="F672" i="6"/>
  <c r="E391" i="6"/>
  <c r="F812" i="6"/>
  <c r="F834" i="6" s="1"/>
  <c r="D24" i="18"/>
  <c r="I24" i="18" s="1"/>
  <c r="K480" i="19"/>
  <c r="L480" i="19" s="1"/>
  <c r="F480" i="19" s="1"/>
  <c r="E4" i="14"/>
  <c r="J4" i="14" s="1"/>
  <c r="K7" i="15" s="1"/>
  <c r="L7" i="15" s="1"/>
  <c r="F224" i="6"/>
  <c r="F10" i="7" s="1"/>
  <c r="E44" i="18" s="1"/>
  <c r="J44" i="18" s="1"/>
  <c r="J435" i="19"/>
  <c r="H89" i="20" s="1"/>
  <c r="E263" i="19"/>
  <c r="H263" i="19"/>
  <c r="F263" i="19" s="1"/>
  <c r="H278" i="19"/>
  <c r="F278" i="19" s="1"/>
  <c r="E278" i="19"/>
  <c r="J239" i="10"/>
  <c r="G45" i="11" s="1"/>
  <c r="J247" i="10"/>
  <c r="G47" i="11" s="1"/>
  <c r="J235" i="10"/>
  <c r="G44" i="11" s="1"/>
  <c r="J243" i="10"/>
  <c r="G46" i="11" s="1"/>
  <c r="I105" i="19" s="1"/>
  <c r="G106" i="15"/>
  <c r="E106" i="15" s="1"/>
  <c r="G111" i="15"/>
  <c r="E111" i="15" s="1"/>
  <c r="E101" i="15"/>
  <c r="F90" i="10"/>
  <c r="I11" i="9"/>
  <c r="F134" i="10"/>
  <c r="G223" i="10"/>
  <c r="H223" i="10" s="1"/>
  <c r="H225" i="10" s="1"/>
  <c r="F42" i="11" s="1"/>
  <c r="G376" i="10"/>
  <c r="H376" i="10" s="1"/>
  <c r="G227" i="10"/>
  <c r="H227" i="10" s="1"/>
  <c r="G211" i="10"/>
  <c r="H211" i="10" s="1"/>
  <c r="G366" i="10"/>
  <c r="H366" i="10" s="1"/>
  <c r="H382" i="10"/>
  <c r="F382" i="10" s="1"/>
  <c r="H380" i="10"/>
  <c r="E318" i="10"/>
  <c r="I269" i="19"/>
  <c r="I276" i="19" s="1"/>
  <c r="E399" i="10"/>
  <c r="G393" i="10"/>
  <c r="G411" i="10"/>
  <c r="G417" i="10" s="1"/>
  <c r="H417" i="10" s="1"/>
  <c r="F417" i="10" s="1"/>
  <c r="G405" i="10"/>
  <c r="D32" i="7"/>
  <c r="F866" i="6"/>
  <c r="I395" i="10"/>
  <c r="J395" i="10" s="1"/>
  <c r="J396" i="10" s="1"/>
  <c r="G68" i="11" s="1"/>
  <c r="I184" i="19" s="1"/>
  <c r="J184" i="19" s="1"/>
  <c r="J186" i="19" s="1"/>
  <c r="I188" i="19" s="1"/>
  <c r="J188" i="19" s="1"/>
  <c r="J189" i="19" s="1"/>
  <c r="G41" i="20" s="1"/>
  <c r="I413" i="10"/>
  <c r="I419" i="10" s="1"/>
  <c r="J419" i="10" s="1"/>
  <c r="J420" i="10" s="1"/>
  <c r="G72" i="11" s="1"/>
  <c r="I216" i="19" s="1"/>
  <c r="J216" i="19" s="1"/>
  <c r="I407" i="10"/>
  <c r="J407" i="10" s="1"/>
  <c r="J408" i="10" s="1"/>
  <c r="G70" i="11" s="1"/>
  <c r="I200" i="19" s="1"/>
  <c r="J200" i="19" s="1"/>
  <c r="C18" i="7"/>
  <c r="E305" i="19"/>
  <c r="H305" i="19"/>
  <c r="F305" i="19" s="1"/>
  <c r="E30" i="18"/>
  <c r="J30" i="18" s="1"/>
  <c r="K128" i="19" s="1"/>
  <c r="L128" i="19" s="1"/>
  <c r="F69" i="10"/>
  <c r="H15" i="15"/>
  <c r="J15" i="15"/>
  <c r="K135" i="6"/>
  <c r="K167" i="6" s="1"/>
  <c r="U167" i="6" s="1"/>
  <c r="U103" i="6"/>
  <c r="H24" i="18"/>
  <c r="K105" i="6"/>
  <c r="U73" i="6"/>
  <c r="E73" i="6" s="1"/>
  <c r="F73" i="6" s="1"/>
  <c r="H13" i="9"/>
  <c r="J13" i="9"/>
  <c r="F520" i="19"/>
  <c r="F456" i="19"/>
  <c r="F258" i="19"/>
  <c r="F201" i="19"/>
  <c r="F142" i="19"/>
  <c r="F134" i="19"/>
  <c r="L53" i="19"/>
  <c r="H14" i="20" s="1"/>
  <c r="K23" i="43" s="1"/>
  <c r="F345" i="10"/>
  <c r="E323" i="10"/>
  <c r="F295" i="10"/>
  <c r="E285" i="10"/>
  <c r="J141" i="10"/>
  <c r="J145" i="10" s="1"/>
  <c r="G28" i="11" s="1"/>
  <c r="I78" i="19" s="1"/>
  <c r="J78" i="19" s="1"/>
  <c r="L87" i="10"/>
  <c r="H21" i="11" s="1"/>
  <c r="E5" i="10"/>
  <c r="F65" i="16"/>
  <c r="D7" i="14" s="1"/>
  <c r="I7" i="14" s="1"/>
  <c r="I26" i="15" s="1"/>
  <c r="H348" i="10"/>
  <c r="H349" i="10" s="1"/>
  <c r="F60" i="11" s="1"/>
  <c r="G146" i="19" s="1"/>
  <c r="H146" i="19" s="1"/>
  <c r="J276" i="10"/>
  <c r="G52" i="11" s="1"/>
  <c r="L131" i="10"/>
  <c r="H25" i="11" s="1"/>
  <c r="H63" i="10"/>
  <c r="F16" i="11" s="1"/>
  <c r="U9" i="6"/>
  <c r="E9" i="6" s="1"/>
  <c r="F9" i="6" s="1"/>
  <c r="E483" i="19"/>
  <c r="J289" i="19"/>
  <c r="F289" i="19" s="1"/>
  <c r="E504" i="19"/>
  <c r="G292" i="19"/>
  <c r="G299" i="19"/>
  <c r="J261" i="19"/>
  <c r="F261" i="19" s="1"/>
  <c r="L537" i="19"/>
  <c r="H107" i="20" s="1"/>
  <c r="L496" i="19"/>
  <c r="H98" i="20" s="1"/>
  <c r="L488" i="19"/>
  <c r="H96" i="20" s="1"/>
  <c r="F465" i="19"/>
  <c r="F464" i="19"/>
  <c r="F462" i="19"/>
  <c r="F451" i="19"/>
  <c r="F450" i="19"/>
  <c r="J411" i="19"/>
  <c r="G85" i="20" s="1"/>
  <c r="F350" i="19"/>
  <c r="F303" i="19"/>
  <c r="F163" i="19"/>
  <c r="F155" i="19"/>
  <c r="L122" i="19"/>
  <c r="H26" i="20" s="1"/>
  <c r="F49" i="19"/>
  <c r="F43" i="19"/>
  <c r="F329" i="10"/>
  <c r="F279" i="10"/>
  <c r="L165" i="10"/>
  <c r="L159" i="10"/>
  <c r="F155" i="10"/>
  <c r="L135" i="10"/>
  <c r="H26" i="11" s="1"/>
  <c r="H117" i="10"/>
  <c r="F24" i="11" s="1"/>
  <c r="L76" i="10"/>
  <c r="H19" i="11" s="1"/>
  <c r="J26" i="10"/>
  <c r="G7" i="11" s="1"/>
  <c r="J10" i="9"/>
  <c r="K43" i="10" s="1"/>
  <c r="L43" i="10" s="1"/>
  <c r="L44" i="10" s="1"/>
  <c r="H13" i="11" s="1"/>
  <c r="J164" i="17"/>
  <c r="F165" i="17" s="1"/>
  <c r="F27" i="18" s="1"/>
  <c r="U71" i="6"/>
  <c r="U7" i="6"/>
  <c r="E7" i="6" s="1"/>
  <c r="F7" i="6" s="1"/>
  <c r="K13" i="22"/>
  <c r="K5" i="22"/>
  <c r="K4" i="22"/>
  <c r="L553" i="19"/>
  <c r="H111" i="20" s="1"/>
  <c r="L557" i="19"/>
  <c r="H112" i="20" s="1"/>
  <c r="E566" i="19"/>
  <c r="F530" i="19"/>
  <c r="F461" i="19"/>
  <c r="L376" i="19"/>
  <c r="H77" i="20" s="1"/>
  <c r="J367" i="19"/>
  <c r="J368" i="19" s="1"/>
  <c r="G75" i="20" s="1"/>
  <c r="L342" i="19"/>
  <c r="H70" i="20" s="1"/>
  <c r="J340" i="10"/>
  <c r="F340" i="10" s="1"/>
  <c r="F298" i="10"/>
  <c r="F297" i="10"/>
  <c r="H281" i="10"/>
  <c r="F281" i="10" s="1"/>
  <c r="E280" i="10"/>
  <c r="L217" i="10"/>
  <c r="H40" i="11" s="1"/>
  <c r="F187" i="10"/>
  <c r="J166" i="10"/>
  <c r="H159" i="10"/>
  <c r="H163" i="10" s="1"/>
  <c r="F31" i="11" s="1"/>
  <c r="L153" i="10"/>
  <c r="J151" i="10"/>
  <c r="G29" i="11" s="1"/>
  <c r="H148" i="10"/>
  <c r="K144" i="10"/>
  <c r="L94" i="10"/>
  <c r="H22" i="11" s="1"/>
  <c r="F65" i="10"/>
  <c r="L63" i="10"/>
  <c r="H16" i="11" s="1"/>
  <c r="L49" i="10"/>
  <c r="H14" i="11" s="1"/>
  <c r="E16" i="10"/>
  <c r="I13" i="9"/>
  <c r="F56" i="15"/>
  <c r="J224" i="17"/>
  <c r="F225" i="17" s="1"/>
  <c r="F35" i="18" s="1"/>
  <c r="J200" i="17"/>
  <c r="F201" i="17" s="1"/>
  <c r="F32" i="18" s="1"/>
  <c r="J179" i="17"/>
  <c r="F180" i="17" s="1"/>
  <c r="F29" i="18" s="1"/>
  <c r="H134" i="17"/>
  <c r="F23" i="18" s="1"/>
  <c r="F973" i="6"/>
  <c r="F994" i="6" s="1"/>
  <c r="F38" i="7" s="1"/>
  <c r="K14" i="22"/>
  <c r="K6" i="22"/>
  <c r="F253" i="19"/>
  <c r="F371" i="19"/>
  <c r="H372" i="19"/>
  <c r="F76" i="20" s="1"/>
  <c r="F327" i="10"/>
  <c r="E33" i="18"/>
  <c r="E8" i="14"/>
  <c r="C17" i="7"/>
  <c r="E21" i="18"/>
  <c r="E10" i="14"/>
  <c r="E35" i="18"/>
  <c r="K262" i="19"/>
  <c r="D13" i="14"/>
  <c r="I13" i="14" s="1"/>
  <c r="I49" i="15" s="1"/>
  <c r="J49" i="15" s="1"/>
  <c r="D14" i="14"/>
  <c r="E300" i="10"/>
  <c r="L300" i="10"/>
  <c r="E253" i="10"/>
  <c r="H253" i="10"/>
  <c r="F253" i="10" s="1"/>
  <c r="H405" i="19"/>
  <c r="E405" i="19"/>
  <c r="E394" i="19"/>
  <c r="J394" i="19"/>
  <c r="F285" i="10"/>
  <c r="H215" i="10"/>
  <c r="E215" i="10"/>
  <c r="H198" i="10"/>
  <c r="F198" i="10" s="1"/>
  <c r="E198" i="10"/>
  <c r="E167" i="10"/>
  <c r="J167" i="10"/>
  <c r="J129" i="10"/>
  <c r="F129" i="10" s="1"/>
  <c r="E129" i="10"/>
  <c r="J25" i="15"/>
  <c r="H25" i="15"/>
  <c r="E19" i="15"/>
  <c r="H19" i="15"/>
  <c r="F19" i="15" s="1"/>
  <c r="H8" i="15"/>
  <c r="F8" i="15" s="1"/>
  <c r="E8" i="15"/>
  <c r="E16" i="9"/>
  <c r="J16" i="9" s="1"/>
  <c r="K40" i="19" s="1"/>
  <c r="L40" i="19" s="1"/>
  <c r="L45" i="19" s="1"/>
  <c r="H13" i="20" s="1"/>
  <c r="C31" i="7"/>
  <c r="E371" i="19"/>
  <c r="F370" i="19"/>
  <c r="E29" i="18"/>
  <c r="E5" i="18"/>
  <c r="J5" i="18" s="1"/>
  <c r="E7" i="18"/>
  <c r="J7" i="18" s="1"/>
  <c r="E31" i="18"/>
  <c r="J31" i="18" s="1"/>
  <c r="E11" i="18"/>
  <c r="J11" i="18" s="1"/>
  <c r="F770" i="6"/>
  <c r="F706" i="6"/>
  <c r="F50" i="15"/>
  <c r="G166" i="16"/>
  <c r="F374" i="19"/>
  <c r="J312" i="10"/>
  <c r="E159" i="10"/>
  <c r="E306" i="10"/>
  <c r="G42" i="19"/>
  <c r="H42" i="19" s="1"/>
  <c r="F42" i="19" s="1"/>
  <c r="E265" i="10"/>
  <c r="J265" i="10"/>
  <c r="F265" i="10" s="1"/>
  <c r="H238" i="10"/>
  <c r="E238" i="10"/>
  <c r="H165" i="10"/>
  <c r="E165" i="10"/>
  <c r="J128" i="10"/>
  <c r="F128" i="10" s="1"/>
  <c r="E128" i="10"/>
  <c r="J112" i="10"/>
  <c r="F112" i="10" s="1"/>
  <c r="E112" i="10"/>
  <c r="J97" i="10"/>
  <c r="E97" i="10"/>
  <c r="F263" i="6"/>
  <c r="F269" i="6" s="1"/>
  <c r="E263" i="6"/>
  <c r="F364" i="10"/>
  <c r="J324" i="19"/>
  <c r="E324" i="19"/>
  <c r="G298" i="19"/>
  <c r="H284" i="19"/>
  <c r="F284" i="19" s="1"/>
  <c r="J64" i="19"/>
  <c r="F64" i="19" s="1"/>
  <c r="E64" i="19"/>
  <c r="J39" i="19"/>
  <c r="F39" i="19" s="1"/>
  <c r="E39" i="19"/>
  <c r="H386" i="10"/>
  <c r="G398" i="10"/>
  <c r="H359" i="10"/>
  <c r="G369" i="10"/>
  <c r="H369" i="10" s="1"/>
  <c r="E351" i="10"/>
  <c r="H351" i="10"/>
  <c r="J344" i="10"/>
  <c r="F344" i="10" s="1"/>
  <c r="E344" i="10"/>
  <c r="E273" i="10"/>
  <c r="H273" i="10"/>
  <c r="J161" i="10"/>
  <c r="E161" i="10"/>
  <c r="J115" i="10"/>
  <c r="F115" i="10" s="1"/>
  <c r="E115" i="10"/>
  <c r="E93" i="10"/>
  <c r="H93" i="10"/>
  <c r="F93" i="10" s="1"/>
  <c r="J45" i="15"/>
  <c r="F45" i="15" s="1"/>
  <c r="E45" i="15"/>
  <c r="J44" i="15"/>
  <c r="L44" i="15"/>
  <c r="L33" i="15"/>
  <c r="H33" i="15"/>
  <c r="E9" i="14"/>
  <c r="J9" i="14" s="1"/>
  <c r="K37" i="15" s="1"/>
  <c r="L37" i="15" s="1"/>
  <c r="E6" i="14"/>
  <c r="J6" i="14" s="1"/>
  <c r="K20" i="15" s="1"/>
  <c r="L20" i="15" s="1"/>
  <c r="H499" i="19"/>
  <c r="F499" i="19" s="1"/>
  <c r="E44" i="19"/>
  <c r="E15" i="18"/>
  <c r="J15" i="18" s="1"/>
  <c r="E25" i="18"/>
  <c r="J25" i="18" s="1"/>
  <c r="F450" i="6"/>
  <c r="E487" i="6"/>
  <c r="F15" i="14"/>
  <c r="J15" i="14" s="1"/>
  <c r="K55" i="15" s="1"/>
  <c r="L55" i="15" s="1"/>
  <c r="E327" i="10"/>
  <c r="J124" i="10"/>
  <c r="E367" i="19"/>
  <c r="C7" i="14"/>
  <c r="H7" i="14" s="1"/>
  <c r="C14" i="14"/>
  <c r="H14" i="14" s="1"/>
  <c r="C9" i="14"/>
  <c r="H9" i="14" s="1"/>
  <c r="C13" i="14"/>
  <c r="H13" i="14" s="1"/>
  <c r="C5" i="14"/>
  <c r="E274" i="10"/>
  <c r="H274" i="10"/>
  <c r="F274" i="10" s="1"/>
  <c r="J108" i="10"/>
  <c r="F108" i="10" s="1"/>
  <c r="E108" i="10"/>
  <c r="F207" i="16"/>
  <c r="H207" i="16" s="1"/>
  <c r="J207" i="16" s="1"/>
  <c r="F206" i="16"/>
  <c r="H206" i="16" s="1"/>
  <c r="J206" i="16" s="1"/>
  <c r="D204" i="16"/>
  <c r="F209" i="16"/>
  <c r="H209" i="16" s="1"/>
  <c r="J209" i="16" s="1"/>
  <c r="E30" i="7"/>
  <c r="F802" i="6"/>
  <c r="J278" i="10"/>
  <c r="E278" i="10"/>
  <c r="E242" i="10"/>
  <c r="H242" i="10"/>
  <c r="H219" i="10"/>
  <c r="E219" i="10"/>
  <c r="H216" i="10"/>
  <c r="F216" i="10" s="1"/>
  <c r="E216" i="10"/>
  <c r="J114" i="10"/>
  <c r="F114" i="10" s="1"/>
  <c r="E114" i="10"/>
  <c r="H48" i="10"/>
  <c r="E48" i="10"/>
  <c r="E10" i="10"/>
  <c r="H10" i="10"/>
  <c r="F10" i="10" s="1"/>
  <c r="J14" i="9"/>
  <c r="H14" i="9"/>
  <c r="E71" i="15"/>
  <c r="H71" i="15"/>
  <c r="F71" i="15" s="1"/>
  <c r="L30" i="15"/>
  <c r="F30" i="15" s="1"/>
  <c r="E30" i="15"/>
  <c r="D12" i="9"/>
  <c r="I12" i="9" s="1"/>
  <c r="K12" i="9" s="1"/>
  <c r="D14" i="9"/>
  <c r="I14" i="9" s="1"/>
  <c r="D20" i="18"/>
  <c r="I20" i="18" s="1"/>
  <c r="D4" i="9"/>
  <c r="I4" i="9" s="1"/>
  <c r="I21" i="10" s="1"/>
  <c r="J21" i="10" s="1"/>
  <c r="J22" i="10" s="1"/>
  <c r="G6" i="11" s="1"/>
  <c r="E4" i="7"/>
  <c r="L543" i="19"/>
  <c r="F543" i="19" s="1"/>
  <c r="E543" i="19"/>
  <c r="E38" i="18"/>
  <c r="J38" i="18" s="1"/>
  <c r="E37" i="18"/>
  <c r="J37" i="18" s="1"/>
  <c r="E9" i="18"/>
  <c r="J9" i="18" s="1"/>
  <c r="C29" i="7"/>
  <c r="C28" i="7"/>
  <c r="F294" i="10"/>
  <c r="G375" i="19"/>
  <c r="E295" i="10"/>
  <c r="E386" i="10"/>
  <c r="E134" i="19"/>
  <c r="G306" i="19"/>
  <c r="E203" i="10"/>
  <c r="H141" i="10"/>
  <c r="E136" i="19"/>
  <c r="E535" i="19"/>
  <c r="H179" i="10"/>
  <c r="F179" i="10" s="1"/>
  <c r="L9" i="15"/>
  <c r="F9" i="15" s="1"/>
  <c r="H307" i="10"/>
  <c r="F307" i="10" s="1"/>
  <c r="E345" i="10"/>
  <c r="J288" i="10"/>
  <c r="F288" i="10" s="1"/>
  <c r="E149" i="10"/>
  <c r="J194" i="10"/>
  <c r="F194" i="10" s="1"/>
  <c r="E296" i="10"/>
  <c r="E325" i="10"/>
  <c r="J36" i="18"/>
  <c r="K125" i="19" s="1"/>
  <c r="L125" i="19" s="1"/>
  <c r="J209" i="17"/>
  <c r="F210" i="17" s="1"/>
  <c r="F33" i="18" s="1"/>
  <c r="F333" i="6"/>
  <c r="I9" i="14"/>
  <c r="I37" i="15" s="1"/>
  <c r="J37" i="15" s="1"/>
  <c r="L243" i="10"/>
  <c r="H46" i="11" s="1"/>
  <c r="J65" i="19"/>
  <c r="F65" i="19" s="1"/>
  <c r="J505" i="19"/>
  <c r="F505" i="19" s="1"/>
  <c r="J46" i="10"/>
  <c r="J49" i="10" s="1"/>
  <c r="G14" i="11" s="1"/>
  <c r="E116" i="10"/>
  <c r="E147" i="19"/>
  <c r="J296" i="19"/>
  <c r="F296" i="19" s="1"/>
  <c r="H31" i="15"/>
  <c r="H193" i="10"/>
  <c r="F193" i="10" s="1"/>
  <c r="F116" i="10"/>
  <c r="H561" i="19"/>
  <c r="G560" i="19"/>
  <c r="F559" i="19"/>
  <c r="G432" i="19"/>
  <c r="H426" i="19"/>
  <c r="F426" i="19" s="1"/>
  <c r="E426" i="19"/>
  <c r="F136" i="19"/>
  <c r="F335" i="19"/>
  <c r="H121" i="19"/>
  <c r="F504" i="19"/>
  <c r="F11" i="19"/>
  <c r="H556" i="19"/>
  <c r="H557" i="19" s="1"/>
  <c r="L304" i="19"/>
  <c r="L389" i="10"/>
  <c r="K401" i="10"/>
  <c r="G311" i="19"/>
  <c r="G15" i="10"/>
  <c r="C23" i="7"/>
  <c r="E20" i="18"/>
  <c r="J20" i="18" s="1"/>
  <c r="E11" i="9"/>
  <c r="J11" i="9" s="1"/>
  <c r="E4" i="9"/>
  <c r="J4" i="9" s="1"/>
  <c r="F379" i="19"/>
  <c r="H380" i="19"/>
  <c r="G379" i="10"/>
  <c r="D15" i="7"/>
  <c r="J54" i="15"/>
  <c r="L54" i="15"/>
  <c r="H54" i="15"/>
  <c r="F642" i="6"/>
  <c r="F399" i="10"/>
  <c r="E24" i="18"/>
  <c r="J24" i="18" s="1"/>
  <c r="E12" i="14"/>
  <c r="E32" i="18"/>
  <c r="G40" i="19"/>
  <c r="J333" i="10"/>
  <c r="F324" i="10"/>
  <c r="F149" i="10"/>
  <c r="F266" i="10"/>
  <c r="C4" i="14"/>
  <c r="H4" i="14" s="1"/>
  <c r="J175" i="10"/>
  <c r="G33" i="11" s="1"/>
  <c r="F171" i="10"/>
  <c r="J537" i="19"/>
  <c r="G107" i="20" s="1"/>
  <c r="F535" i="19"/>
  <c r="C11" i="14"/>
  <c r="H11" i="14" s="1"/>
  <c r="C6" i="14"/>
  <c r="H6" i="14" s="1"/>
  <c r="G445" i="19"/>
  <c r="E331" i="19"/>
  <c r="H330" i="19"/>
  <c r="H291" i="19"/>
  <c r="F291" i="19" s="1"/>
  <c r="E329" i="10"/>
  <c r="H52" i="10"/>
  <c r="J31" i="15"/>
  <c r="I9" i="18"/>
  <c r="I514" i="19"/>
  <c r="G312" i="19"/>
  <c r="H267" i="10"/>
  <c r="H24" i="10"/>
  <c r="H44" i="15"/>
  <c r="I16" i="9"/>
  <c r="I40" i="19" s="1"/>
  <c r="J40" i="19" s="1"/>
  <c r="I8" i="9"/>
  <c r="I37" i="10" s="1"/>
  <c r="J562" i="19"/>
  <c r="L7" i="10"/>
  <c r="H3" i="11" s="1"/>
  <c r="F103" i="16"/>
  <c r="F108" i="16" s="1"/>
  <c r="L109" i="16" s="1"/>
  <c r="F110" i="16" s="1"/>
  <c r="F10" i="14" s="1"/>
  <c r="G129" i="16"/>
  <c r="K132" i="16" s="1"/>
  <c r="K133" i="16" s="1"/>
  <c r="F134" i="16" s="1"/>
  <c r="F12" i="14" s="1"/>
  <c r="C11" i="12"/>
  <c r="C13" i="12"/>
  <c r="C8" i="12"/>
  <c r="H321" i="10" l="1"/>
  <c r="L722" i="19"/>
  <c r="J32" i="18"/>
  <c r="F257" i="10"/>
  <c r="L23" i="43"/>
  <c r="K24" i="43"/>
  <c r="L24" i="43" s="1"/>
  <c r="H175" i="10"/>
  <c r="F33" i="11" s="1"/>
  <c r="J21" i="18"/>
  <c r="L22" i="15"/>
  <c r="H5" i="13" s="1"/>
  <c r="I21" i="18"/>
  <c r="J8" i="14"/>
  <c r="K36" i="15" s="1"/>
  <c r="H21" i="18"/>
  <c r="J10" i="15"/>
  <c r="G3" i="13" s="1"/>
  <c r="I184" i="10" s="1"/>
  <c r="J184" i="10" s="1"/>
  <c r="I8" i="14"/>
  <c r="I36" i="15" s="1"/>
  <c r="J36" i="15" s="1"/>
  <c r="J40" i="15" s="1"/>
  <c r="G8" i="13" s="1"/>
  <c r="I185" i="10" s="1"/>
  <c r="J185" i="10" s="1"/>
  <c r="F13" i="15"/>
  <c r="H367" i="10"/>
  <c r="F63" i="11" s="1"/>
  <c r="G154" i="19" s="1"/>
  <c r="H154" i="19" s="1"/>
  <c r="H156" i="19" s="1"/>
  <c r="F33" i="20" s="1"/>
  <c r="K320" i="10"/>
  <c r="J14" i="14"/>
  <c r="K647" i="19"/>
  <c r="K639" i="19" s="1"/>
  <c r="L639" i="19" s="1"/>
  <c r="K174" i="10"/>
  <c r="I14" i="14"/>
  <c r="F55" i="19"/>
  <c r="J357" i="10"/>
  <c r="G61" i="11" s="1"/>
  <c r="I36" i="19" s="1"/>
  <c r="J36" i="19" s="1"/>
  <c r="I23" i="18"/>
  <c r="F962" i="6"/>
  <c r="J5" i="14"/>
  <c r="K14" i="15" s="1"/>
  <c r="L14" i="15" s="1"/>
  <c r="L16" i="15" s="1"/>
  <c r="H4" i="13" s="1"/>
  <c r="K73" i="19" s="1"/>
  <c r="L73" i="19" s="1"/>
  <c r="K26" i="15"/>
  <c r="L26" i="15" s="1"/>
  <c r="L28" i="15" s="1"/>
  <c r="H6" i="13" s="1"/>
  <c r="K69" i="19" s="1"/>
  <c r="L69" i="19" s="1"/>
  <c r="L164" i="19"/>
  <c r="F164" i="19" s="1"/>
  <c r="E164" i="19"/>
  <c r="K165" i="17"/>
  <c r="I27" i="18" s="1"/>
  <c r="D16" i="7"/>
  <c r="C16" i="7" s="1"/>
  <c r="F38" i="15"/>
  <c r="F160" i="10"/>
  <c r="H5" i="14"/>
  <c r="J16" i="15"/>
  <c r="G4" i="13" s="1"/>
  <c r="I79" i="19" s="1"/>
  <c r="J79" i="19" s="1"/>
  <c r="J81" i="19" s="1"/>
  <c r="J82" i="19" s="1"/>
  <c r="H15" i="9"/>
  <c r="F27" i="15"/>
  <c r="J389" i="10"/>
  <c r="J390" i="10" s="1"/>
  <c r="G67" i="11" s="1"/>
  <c r="I177" i="19" s="1"/>
  <c r="J177" i="19" s="1"/>
  <c r="F147" i="10"/>
  <c r="H27" i="18"/>
  <c r="G503" i="19" s="1"/>
  <c r="H503" i="19" s="1"/>
  <c r="F160" i="16"/>
  <c r="G74" i="15"/>
  <c r="G79" i="15" s="1"/>
  <c r="G84" i="15" s="1"/>
  <c r="G89" i="15" s="1"/>
  <c r="G94" i="15" s="1"/>
  <c r="G99" i="15" s="1"/>
  <c r="G104" i="15" s="1"/>
  <c r="G109" i="15" s="1"/>
  <c r="G118" i="15" s="1"/>
  <c r="E118" i="15" s="1"/>
  <c r="J58" i="19"/>
  <c r="F58" i="19" s="1"/>
  <c r="K9" i="43"/>
  <c r="K7" i="43"/>
  <c r="I25" i="18"/>
  <c r="J659" i="19"/>
  <c r="H392" i="19"/>
  <c r="F81" i="20" s="1"/>
  <c r="H407" i="19"/>
  <c r="F84" i="20" s="1"/>
  <c r="H157" i="10"/>
  <c r="E66" i="15"/>
  <c r="H66" i="15"/>
  <c r="F66" i="15" s="1"/>
  <c r="L262" i="10"/>
  <c r="L162" i="10"/>
  <c r="L163" i="10" s="1"/>
  <c r="F59" i="10"/>
  <c r="F1007" i="6"/>
  <c r="E1009" i="6" s="1"/>
  <c r="F1009" i="6" s="1"/>
  <c r="F1013" i="6" s="1"/>
  <c r="F1026" i="6" s="1"/>
  <c r="E1135" i="6"/>
  <c r="F1135" i="6" s="1"/>
  <c r="E1137" i="6" s="1"/>
  <c r="F1137" i="6" s="1"/>
  <c r="F1141" i="6" s="1"/>
  <c r="K358" i="19"/>
  <c r="L358" i="19" s="1"/>
  <c r="H113" i="20"/>
  <c r="K646" i="19"/>
  <c r="G113" i="20"/>
  <c r="I646" i="19"/>
  <c r="F74" i="19"/>
  <c r="F289" i="10"/>
  <c r="H292" i="10"/>
  <c r="F54" i="11" s="1"/>
  <c r="L290" i="10"/>
  <c r="F290" i="10" s="1"/>
  <c r="F114" i="20"/>
  <c r="G647" i="19"/>
  <c r="G639" i="19" s="1"/>
  <c r="H639" i="19" s="1"/>
  <c r="F121" i="19"/>
  <c r="H122" i="19"/>
  <c r="C41" i="18"/>
  <c r="H41" i="18" s="1"/>
  <c r="C42" i="18"/>
  <c r="H42" i="18" s="1"/>
  <c r="C45" i="18"/>
  <c r="H45" i="18" s="1"/>
  <c r="G34" i="19" s="1"/>
  <c r="H34" i="19" s="1"/>
  <c r="J105" i="19"/>
  <c r="C26" i="18"/>
  <c r="G603" i="19"/>
  <c r="H603" i="19" s="1"/>
  <c r="I15" i="9"/>
  <c r="F153" i="10"/>
  <c r="F98" i="10"/>
  <c r="F44" i="15"/>
  <c r="U41" i="6"/>
  <c r="E41" i="6" s="1"/>
  <c r="F41" i="6" s="1"/>
  <c r="F43" i="6" s="1"/>
  <c r="F66" i="6" s="1"/>
  <c r="F33" i="15"/>
  <c r="E12" i="19"/>
  <c r="E391" i="19"/>
  <c r="I35" i="18"/>
  <c r="F15" i="15"/>
  <c r="L34" i="15"/>
  <c r="H7" i="13" s="1"/>
  <c r="J54" i="10"/>
  <c r="G15" i="11" s="1"/>
  <c r="I18" i="10"/>
  <c r="J18" i="10" s="1"/>
  <c r="F148" i="10"/>
  <c r="F166" i="10"/>
  <c r="H135" i="10"/>
  <c r="F26" i="11" s="1"/>
  <c r="E26" i="11" s="1"/>
  <c r="H370" i="10"/>
  <c r="F370" i="10" s="1"/>
  <c r="E370" i="10"/>
  <c r="E375" i="10"/>
  <c r="F154" i="10"/>
  <c r="F159" i="10"/>
  <c r="F231" i="10"/>
  <c r="K234" i="10"/>
  <c r="J87" i="10"/>
  <c r="G21" i="11" s="1"/>
  <c r="J609" i="19"/>
  <c r="H337" i="19"/>
  <c r="F337" i="19" s="1"/>
  <c r="J122" i="19"/>
  <c r="G26" i="20" s="1"/>
  <c r="J496" i="19"/>
  <c r="G98" i="20" s="1"/>
  <c r="F119" i="19"/>
  <c r="F390" i="19"/>
  <c r="J392" i="19"/>
  <c r="G81" i="20" s="1"/>
  <c r="L15" i="19"/>
  <c r="L511" i="19"/>
  <c r="H537" i="19"/>
  <c r="F107" i="20" s="1"/>
  <c r="E107" i="20" s="1"/>
  <c r="H361" i="19"/>
  <c r="E71" i="10"/>
  <c r="I33" i="18"/>
  <c r="F48" i="19"/>
  <c r="H53" i="19"/>
  <c r="F14" i="20" s="1"/>
  <c r="G23" i="43" s="1"/>
  <c r="F50" i="19"/>
  <c r="E427" i="19"/>
  <c r="I52" i="19"/>
  <c r="E79" i="10"/>
  <c r="H79" i="10"/>
  <c r="F79" i="10" s="1"/>
  <c r="H78" i="10"/>
  <c r="E78" i="10"/>
  <c r="J72" i="10"/>
  <c r="G18" i="11" s="1"/>
  <c r="I84" i="19" s="1"/>
  <c r="J84" i="19" s="1"/>
  <c r="F84" i="19" s="1"/>
  <c r="H139" i="10"/>
  <c r="F27" i="11" s="1"/>
  <c r="E27" i="11" s="1"/>
  <c r="L150" i="10"/>
  <c r="F150" i="10" s="1"/>
  <c r="F46" i="10"/>
  <c r="E415" i="19"/>
  <c r="E495" i="19"/>
  <c r="F494" i="19"/>
  <c r="G433" i="19"/>
  <c r="E433" i="19" s="1"/>
  <c r="H496" i="19"/>
  <c r="F98" i="20" s="1"/>
  <c r="G421" i="19"/>
  <c r="E421" i="19" s="1"/>
  <c r="H415" i="19"/>
  <c r="F415" i="19" s="1"/>
  <c r="K416" i="19" s="1"/>
  <c r="L416" i="19" s="1"/>
  <c r="L417" i="19" s="1"/>
  <c r="H86" i="20" s="1"/>
  <c r="J45" i="19"/>
  <c r="G13" i="20" s="1"/>
  <c r="F387" i="19"/>
  <c r="H15" i="14"/>
  <c r="G55" i="15" s="1"/>
  <c r="H12" i="14"/>
  <c r="G48" i="15" s="1"/>
  <c r="E35" i="19"/>
  <c r="E3" i="11"/>
  <c r="E46" i="18"/>
  <c r="J46" i="18" s="1"/>
  <c r="K206" i="10"/>
  <c r="K212" i="10"/>
  <c r="J29" i="18"/>
  <c r="K512" i="19" s="1"/>
  <c r="L512" i="19" s="1"/>
  <c r="J35" i="18"/>
  <c r="J12" i="18"/>
  <c r="K8" i="19" s="1"/>
  <c r="L8" i="19" s="1"/>
  <c r="L9" i="19" s="1"/>
  <c r="H5" i="20" s="1"/>
  <c r="K5" i="43" s="1"/>
  <c r="G423" i="10"/>
  <c r="E423" i="10" s="1"/>
  <c r="H151" i="10"/>
  <c r="F29" i="11" s="1"/>
  <c r="G72" i="19" s="1"/>
  <c r="H72" i="19" s="1"/>
  <c r="E417" i="10"/>
  <c r="E411" i="10"/>
  <c r="G429" i="10"/>
  <c r="G441" i="10" s="1"/>
  <c r="I347" i="10"/>
  <c r="J347" i="10" s="1"/>
  <c r="F380" i="10"/>
  <c r="K383" i="10"/>
  <c r="J145" i="19"/>
  <c r="K376" i="10"/>
  <c r="L376" i="10" s="1"/>
  <c r="L377" i="10" s="1"/>
  <c r="H65" i="11" s="1"/>
  <c r="K223" i="10"/>
  <c r="L223" i="10" s="1"/>
  <c r="K366" i="10"/>
  <c r="L366" i="10" s="1"/>
  <c r="L367" i="10" s="1"/>
  <c r="H63" i="11" s="1"/>
  <c r="K154" i="19" s="1"/>
  <c r="L154" i="19" s="1"/>
  <c r="L156" i="19" s="1"/>
  <c r="H33" i="20" s="1"/>
  <c r="J568" i="19"/>
  <c r="F568" i="19" s="1"/>
  <c r="F4" i="20"/>
  <c r="E4" i="20" s="1"/>
  <c r="G491" i="19"/>
  <c r="E491" i="19" s="1"/>
  <c r="F5" i="19"/>
  <c r="E420" i="19"/>
  <c r="E398" i="19"/>
  <c r="E480" i="19"/>
  <c r="J402" i="19"/>
  <c r="G83" i="20" s="1"/>
  <c r="H383" i="19"/>
  <c r="H384" i="19" s="1"/>
  <c r="E362" i="19"/>
  <c r="F386" i="19"/>
  <c r="F334" i="19"/>
  <c r="E387" i="19"/>
  <c r="J388" i="19"/>
  <c r="G80" i="20" s="1"/>
  <c r="E80" i="20" s="1"/>
  <c r="K68" i="19"/>
  <c r="E68" i="19" s="1"/>
  <c r="L513" i="19"/>
  <c r="F513" i="19" s="1"/>
  <c r="F567" i="19"/>
  <c r="H342" i="19"/>
  <c r="F70" i="20" s="1"/>
  <c r="E277" i="19"/>
  <c r="F490" i="19"/>
  <c r="F138" i="10"/>
  <c r="L156" i="10"/>
  <c r="F156" i="10" s="1"/>
  <c r="I431" i="10"/>
  <c r="I443" i="10" s="1"/>
  <c r="K337" i="10"/>
  <c r="L337" i="10" s="1"/>
  <c r="H338" i="10"/>
  <c r="G145" i="19" s="1"/>
  <c r="E261" i="10"/>
  <c r="C43" i="18"/>
  <c r="H43" i="18" s="1"/>
  <c r="G30" i="19" s="1"/>
  <c r="H30" i="19" s="1"/>
  <c r="H32" i="19" s="1"/>
  <c r="F11" i="20" s="1"/>
  <c r="G25" i="43" s="1"/>
  <c r="H333" i="10"/>
  <c r="F58" i="11" s="1"/>
  <c r="G458" i="19" s="1"/>
  <c r="G470" i="19" s="1"/>
  <c r="H35" i="18"/>
  <c r="C44" i="18"/>
  <c r="H44" i="18" s="1"/>
  <c r="K440" i="19"/>
  <c r="H411" i="10"/>
  <c r="F411" i="10" s="1"/>
  <c r="E254" i="10"/>
  <c r="F13" i="10"/>
  <c r="H76" i="10"/>
  <c r="F76" i="10" s="1"/>
  <c r="G40" i="20"/>
  <c r="F111" i="6"/>
  <c r="E113" i="6" s="1"/>
  <c r="F113" i="6" s="1"/>
  <c r="F121" i="6" s="1"/>
  <c r="E7" i="7" s="1"/>
  <c r="D10" i="18" s="1"/>
  <c r="I10" i="18" s="1"/>
  <c r="E143" i="6"/>
  <c r="F322" i="6"/>
  <c r="C40" i="18"/>
  <c r="H40" i="18" s="1"/>
  <c r="C46" i="18"/>
  <c r="H46" i="18" s="1"/>
  <c r="E400" i="19"/>
  <c r="E382" i="10"/>
  <c r="H402" i="19"/>
  <c r="F83" i="20" s="1"/>
  <c r="K428" i="19"/>
  <c r="E111" i="20"/>
  <c r="L502" i="19"/>
  <c r="H422" i="19"/>
  <c r="J269" i="19"/>
  <c r="E94" i="20"/>
  <c r="K21" i="18"/>
  <c r="J27" i="18"/>
  <c r="K503" i="19" s="1"/>
  <c r="L503" i="19" s="1"/>
  <c r="J23" i="18"/>
  <c r="K404" i="19"/>
  <c r="L404" i="19" s="1"/>
  <c r="C36" i="7"/>
  <c r="U135" i="6"/>
  <c r="E135" i="6" s="1"/>
  <c r="E41" i="18"/>
  <c r="J41" i="18" s="1"/>
  <c r="F930" i="6"/>
  <c r="E45" i="18"/>
  <c r="J45" i="18" s="1"/>
  <c r="K34" i="19" s="1"/>
  <c r="L34" i="19" s="1"/>
  <c r="H12" i="19"/>
  <c r="L251" i="10"/>
  <c r="H48" i="11" s="1"/>
  <c r="K110" i="19" s="1"/>
  <c r="L110" i="19" s="1"/>
  <c r="C30" i="7"/>
  <c r="E40" i="18"/>
  <c r="J40" i="18" s="1"/>
  <c r="K39" i="18"/>
  <c r="D19" i="7"/>
  <c r="F514" i="6"/>
  <c r="C37" i="7"/>
  <c r="H327" i="19"/>
  <c r="F67" i="20" s="1"/>
  <c r="H94" i="10"/>
  <c r="F94" i="10" s="1"/>
  <c r="F556" i="19"/>
  <c r="E264" i="19"/>
  <c r="J342" i="19"/>
  <c r="G70" i="20" s="1"/>
  <c r="F367" i="19"/>
  <c r="E76" i="20"/>
  <c r="H411" i="19"/>
  <c r="F85" i="20" s="1"/>
  <c r="E42" i="19"/>
  <c r="J413" i="10"/>
  <c r="J414" i="10" s="1"/>
  <c r="G71" i="11" s="1"/>
  <c r="I208" i="19" s="1"/>
  <c r="J208" i="19" s="1"/>
  <c r="I425" i="10"/>
  <c r="J423" i="19"/>
  <c r="G87" i="20" s="1"/>
  <c r="G115" i="15"/>
  <c r="G120" i="15" s="1"/>
  <c r="E380" i="10"/>
  <c r="H87" i="10"/>
  <c r="F21" i="11" s="1"/>
  <c r="K332" i="10"/>
  <c r="L332" i="10" s="1"/>
  <c r="F66" i="10"/>
  <c r="H67" i="10"/>
  <c r="E168" i="10"/>
  <c r="L168" i="10"/>
  <c r="F168" i="10" s="1"/>
  <c r="F553" i="19"/>
  <c r="G540" i="19"/>
  <c r="F539" i="19"/>
  <c r="F475" i="19"/>
  <c r="D20" i="7"/>
  <c r="C20" i="7" s="1"/>
  <c r="F546" i="6"/>
  <c r="L57" i="15"/>
  <c r="H11" i="13" s="1"/>
  <c r="E43" i="18"/>
  <c r="J43" i="18" s="1"/>
  <c r="K30" i="19" s="1"/>
  <c r="L30" i="19" s="1"/>
  <c r="L32" i="19" s="1"/>
  <c r="H11" i="20" s="1"/>
  <c r="K25" i="43" s="1"/>
  <c r="E42" i="18"/>
  <c r="J42" i="18" s="1"/>
  <c r="F24" i="7"/>
  <c r="C24" i="7" s="1"/>
  <c r="F674" i="6"/>
  <c r="K14" i="14"/>
  <c r="I228" i="10"/>
  <c r="J228" i="10" s="1"/>
  <c r="E299" i="19"/>
  <c r="G320" i="19"/>
  <c r="G228" i="10"/>
  <c r="K13" i="9"/>
  <c r="H29" i="18"/>
  <c r="G512" i="19" s="1"/>
  <c r="H512" i="19" s="1"/>
  <c r="I32" i="15"/>
  <c r="J32" i="15" s="1"/>
  <c r="I32" i="18"/>
  <c r="I129" i="19" s="1"/>
  <c r="J129" i="19" s="1"/>
  <c r="H32" i="18"/>
  <c r="G129" i="19" s="1"/>
  <c r="H129" i="19" s="1"/>
  <c r="D21" i="7"/>
  <c r="F578" i="6"/>
  <c r="E292" i="19"/>
  <c r="H292" i="19"/>
  <c r="F292" i="19" s="1"/>
  <c r="G313" i="19"/>
  <c r="K282" i="10"/>
  <c r="F103" i="6"/>
  <c r="E103" i="6"/>
  <c r="E405" i="10"/>
  <c r="H405" i="10"/>
  <c r="F405" i="10" s="1"/>
  <c r="J251" i="10"/>
  <c r="G48" i="11" s="1"/>
  <c r="I110" i="19" s="1"/>
  <c r="J110" i="19" s="1"/>
  <c r="J255" i="10"/>
  <c r="G49" i="11" s="1"/>
  <c r="I115" i="19" s="1"/>
  <c r="J115" i="19" s="1"/>
  <c r="H309" i="10"/>
  <c r="F56" i="11" s="1"/>
  <c r="F71" i="6"/>
  <c r="E71" i="6"/>
  <c r="K10" i="9"/>
  <c r="K7" i="14"/>
  <c r="K24" i="18"/>
  <c r="H11" i="10"/>
  <c r="F4" i="11" s="1"/>
  <c r="E4" i="11" s="1"/>
  <c r="C38" i="7"/>
  <c r="E144" i="10"/>
  <c r="L144" i="10"/>
  <c r="E167" i="6"/>
  <c r="F167" i="6"/>
  <c r="F173" i="6" s="1"/>
  <c r="F11" i="6"/>
  <c r="K137" i="6"/>
  <c r="U105" i="6"/>
  <c r="C32" i="7"/>
  <c r="H283" i="10"/>
  <c r="F53" i="11" s="1"/>
  <c r="F31" i="15"/>
  <c r="H299" i="19"/>
  <c r="F299" i="19" s="1"/>
  <c r="K308" i="10"/>
  <c r="E308" i="10" s="1"/>
  <c r="L255" i="10"/>
  <c r="H49" i="11" s="1"/>
  <c r="K115" i="19" s="1"/>
  <c r="L115" i="19" s="1"/>
  <c r="J33" i="18"/>
  <c r="K180" i="17"/>
  <c r="I29" i="18" s="1"/>
  <c r="I512" i="19" s="1"/>
  <c r="J512" i="19" s="1"/>
  <c r="K224" i="10"/>
  <c r="H393" i="10"/>
  <c r="F393" i="10" s="1"/>
  <c r="E393" i="10"/>
  <c r="K14" i="9"/>
  <c r="I227" i="10"/>
  <c r="I361" i="10"/>
  <c r="I199" i="10"/>
  <c r="F242" i="10"/>
  <c r="G14" i="15"/>
  <c r="E306" i="19"/>
  <c r="H306" i="19"/>
  <c r="F306" i="19" s="1"/>
  <c r="I366" i="10"/>
  <c r="I223" i="10"/>
  <c r="I376" i="10"/>
  <c r="F48" i="10"/>
  <c r="H49" i="10"/>
  <c r="J283" i="10"/>
  <c r="G53" i="11" s="1"/>
  <c r="F278" i="10"/>
  <c r="K96" i="19"/>
  <c r="K86" i="19"/>
  <c r="L86" i="19" s="1"/>
  <c r="L87" i="19" s="1"/>
  <c r="H19" i="20" s="1"/>
  <c r="K91" i="19"/>
  <c r="L91" i="19" s="1"/>
  <c r="L92" i="19" s="1"/>
  <c r="H20" i="20" s="1"/>
  <c r="F359" i="10"/>
  <c r="H362" i="10"/>
  <c r="F62" i="11" s="1"/>
  <c r="G150" i="19" s="1"/>
  <c r="H150" i="19" s="1"/>
  <c r="H152" i="19" s="1"/>
  <c r="J327" i="19"/>
  <c r="F324" i="19"/>
  <c r="H169" i="10"/>
  <c r="F165" i="10"/>
  <c r="F25" i="15"/>
  <c r="F167" i="10"/>
  <c r="J169" i="10"/>
  <c r="G32" i="11" s="1"/>
  <c r="J396" i="19"/>
  <c r="G82" i="20" s="1"/>
  <c r="G395" i="19"/>
  <c r="F394" i="19"/>
  <c r="F300" i="10"/>
  <c r="L302" i="10"/>
  <c r="H55" i="11" s="1"/>
  <c r="J302" i="10"/>
  <c r="I12" i="14"/>
  <c r="I48" i="15" s="1"/>
  <c r="J48" i="15" s="1"/>
  <c r="J52" i="15" s="1"/>
  <c r="G10" i="13" s="1"/>
  <c r="I477" i="19" s="1"/>
  <c r="J477" i="19" s="1"/>
  <c r="F405" i="19"/>
  <c r="J269" i="10"/>
  <c r="G51" i="11" s="1"/>
  <c r="F57" i="11"/>
  <c r="J321" i="10"/>
  <c r="G57" i="11" s="1"/>
  <c r="F312" i="10"/>
  <c r="F141" i="10"/>
  <c r="H145" i="10"/>
  <c r="E375" i="19"/>
  <c r="H375" i="19"/>
  <c r="D36" i="18"/>
  <c r="I36" i="18" s="1"/>
  <c r="D7" i="9"/>
  <c r="I7" i="9" s="1"/>
  <c r="K361" i="10"/>
  <c r="K199" i="10"/>
  <c r="K227" i="10"/>
  <c r="L227" i="10" s="1"/>
  <c r="L229" i="10" s="1"/>
  <c r="H221" i="10"/>
  <c r="F219" i="10"/>
  <c r="K9" i="14"/>
  <c r="G37" i="15"/>
  <c r="F124" i="10"/>
  <c r="J131" i="10"/>
  <c r="F161" i="10"/>
  <c r="J163" i="10"/>
  <c r="G31" i="11" s="1"/>
  <c r="F386" i="10"/>
  <c r="K388" i="10"/>
  <c r="H298" i="19"/>
  <c r="F298" i="19" s="1"/>
  <c r="G319" i="19"/>
  <c r="E298" i="19"/>
  <c r="J100" i="10"/>
  <c r="F97" i="10"/>
  <c r="F238" i="10"/>
  <c r="F30" i="11"/>
  <c r="L36" i="15"/>
  <c r="L40" i="15" s="1"/>
  <c r="H8" i="13" s="1"/>
  <c r="F372" i="19"/>
  <c r="L10" i="15"/>
  <c r="H3" i="13" s="1"/>
  <c r="I291" i="10"/>
  <c r="J117" i="10"/>
  <c r="F354" i="6"/>
  <c r="D14" i="7"/>
  <c r="G665" i="19" s="1"/>
  <c r="G36" i="15"/>
  <c r="H36" i="15" s="1"/>
  <c r="G205" i="10"/>
  <c r="H205" i="10" s="1"/>
  <c r="G199" i="10"/>
  <c r="E320" i="10"/>
  <c r="L320" i="10"/>
  <c r="G49" i="15"/>
  <c r="K13" i="14"/>
  <c r="G32" i="15"/>
  <c r="H32" i="15" s="1"/>
  <c r="H34" i="15" s="1"/>
  <c r="F7" i="13" s="1"/>
  <c r="G26" i="15"/>
  <c r="H26" i="15" s="1"/>
  <c r="H28" i="15" s="1"/>
  <c r="F6" i="13" s="1"/>
  <c r="I86" i="19"/>
  <c r="J86" i="19" s="1"/>
  <c r="I96" i="19"/>
  <c r="I91" i="19"/>
  <c r="J91" i="19" s="1"/>
  <c r="F273" i="10"/>
  <c r="K275" i="10"/>
  <c r="H276" i="10"/>
  <c r="F52" i="11" s="1"/>
  <c r="H357" i="10"/>
  <c r="K356" i="10"/>
  <c r="F351" i="10"/>
  <c r="G404" i="10"/>
  <c r="G392" i="10"/>
  <c r="G410" i="10"/>
  <c r="H398" i="10"/>
  <c r="E398" i="10"/>
  <c r="H217" i="10"/>
  <c r="F215" i="10"/>
  <c r="K269" i="19"/>
  <c r="L262" i="19"/>
  <c r="E369" i="10"/>
  <c r="E301" i="10"/>
  <c r="K16" i="9"/>
  <c r="H500" i="19"/>
  <c r="H33" i="18"/>
  <c r="H432" i="19"/>
  <c r="E432" i="19"/>
  <c r="H560" i="19"/>
  <c r="E560" i="19"/>
  <c r="F368" i="19"/>
  <c r="F75" i="20"/>
  <c r="E75" i="20" s="1"/>
  <c r="I10" i="14"/>
  <c r="H10" i="14"/>
  <c r="J10" i="14"/>
  <c r="K42" i="15" s="1"/>
  <c r="L42" i="15" s="1"/>
  <c r="L46" i="15" s="1"/>
  <c r="H9" i="13" s="1"/>
  <c r="K124" i="19" s="1"/>
  <c r="L124" i="19" s="1"/>
  <c r="L126" i="19" s="1"/>
  <c r="H27" i="20" s="1"/>
  <c r="H26" i="10"/>
  <c r="F24" i="10"/>
  <c r="E312" i="19"/>
  <c r="H312" i="19"/>
  <c r="F312" i="19" s="1"/>
  <c r="H445" i="19"/>
  <c r="E445" i="19"/>
  <c r="G478" i="19"/>
  <c r="E174" i="10"/>
  <c r="L174" i="10"/>
  <c r="G435" i="10"/>
  <c r="F54" i="15"/>
  <c r="F380" i="19"/>
  <c r="F78" i="20"/>
  <c r="E78" i="20" s="1"/>
  <c r="K21" i="10"/>
  <c r="D12" i="7"/>
  <c r="G659" i="19" s="1"/>
  <c r="H659" i="19" s="1"/>
  <c r="H661" i="19" s="1"/>
  <c r="F129" i="20" s="1"/>
  <c r="F290" i="6"/>
  <c r="E514" i="19"/>
  <c r="J514" i="19"/>
  <c r="F514" i="19" s="1"/>
  <c r="F63" i="10"/>
  <c r="G16" i="11"/>
  <c r="E16" i="11" s="1"/>
  <c r="K6" i="14"/>
  <c r="G20" i="15"/>
  <c r="G7" i="15"/>
  <c r="K4" i="14"/>
  <c r="I503" i="19"/>
  <c r="K27" i="18"/>
  <c r="G58" i="11"/>
  <c r="F59" i="11"/>
  <c r="H377" i="10"/>
  <c r="F375" i="10"/>
  <c r="G304" i="19"/>
  <c r="C15" i="7"/>
  <c r="J37" i="10"/>
  <c r="F330" i="19"/>
  <c r="H332" i="19"/>
  <c r="M107" i="6"/>
  <c r="U75" i="6"/>
  <c r="E75" i="6" s="1"/>
  <c r="F75" i="6" s="1"/>
  <c r="F16" i="14"/>
  <c r="H50" i="11"/>
  <c r="E50" i="11" s="1"/>
  <c r="F262" i="10"/>
  <c r="K129" i="19"/>
  <c r="H379" i="10"/>
  <c r="E379" i="10"/>
  <c r="H10" i="11"/>
  <c r="F112" i="20"/>
  <c r="F557" i="19"/>
  <c r="H15" i="10"/>
  <c r="E15" i="10"/>
  <c r="H45" i="11"/>
  <c r="H54" i="10"/>
  <c r="F52" i="10"/>
  <c r="F267" i="10"/>
  <c r="K268" i="10"/>
  <c r="K11" i="14"/>
  <c r="G43" i="15"/>
  <c r="F369" i="10"/>
  <c r="H269" i="10"/>
  <c r="F7" i="10"/>
  <c r="H40" i="19"/>
  <c r="E40" i="19"/>
  <c r="J12" i="14"/>
  <c r="K48" i="15" s="1"/>
  <c r="L48" i="15" s="1"/>
  <c r="L52" i="15" s="1"/>
  <c r="H10" i="13" s="1"/>
  <c r="K477" i="19" s="1"/>
  <c r="L477" i="19" s="1"/>
  <c r="L481" i="19" s="1"/>
  <c r="H95" i="20" s="1"/>
  <c r="I72" i="19"/>
  <c r="J26" i="15"/>
  <c r="D14" i="18"/>
  <c r="I14" i="18" s="1"/>
  <c r="J276" i="19"/>
  <c r="I283" i="19"/>
  <c r="E43" i="10"/>
  <c r="H43" i="10"/>
  <c r="H311" i="19"/>
  <c r="E311" i="19"/>
  <c r="K413" i="10"/>
  <c r="K407" i="10"/>
  <c r="L407" i="10" s="1"/>
  <c r="K395" i="10"/>
  <c r="L395" i="10" s="1"/>
  <c r="L401" i="10"/>
  <c r="F162" i="10" l="1"/>
  <c r="L647" i="19"/>
  <c r="K20" i="43"/>
  <c r="L20" i="43" s="1"/>
  <c r="L19" i="43"/>
  <c r="E74" i="15"/>
  <c r="K59" i="19"/>
  <c r="L59" i="19" s="1"/>
  <c r="L60" i="19" s="1"/>
  <c r="H15" i="20" s="1"/>
  <c r="H74" i="15"/>
  <c r="F74" i="15" s="1"/>
  <c r="E89" i="15"/>
  <c r="E85" i="20"/>
  <c r="I177" i="10"/>
  <c r="J177" i="10" s="1"/>
  <c r="J188" i="10"/>
  <c r="G35" i="11" s="1"/>
  <c r="D6" i="18"/>
  <c r="I6" i="18" s="1"/>
  <c r="K8" i="14"/>
  <c r="H89" i="15"/>
  <c r="K79" i="19"/>
  <c r="L79" i="19" s="1"/>
  <c r="L81" i="19" s="1"/>
  <c r="L82" i="19" s="1"/>
  <c r="H18" i="20" s="1"/>
  <c r="K5" i="14"/>
  <c r="I190" i="10"/>
  <c r="J190" i="10" s="1"/>
  <c r="G24" i="43"/>
  <c r="H24" i="43" s="1"/>
  <c r="H23" i="43"/>
  <c r="E94" i="15"/>
  <c r="H94" i="15"/>
  <c r="F94" i="15" s="1"/>
  <c r="E99" i="15"/>
  <c r="H118" i="15"/>
  <c r="F118" i="15" s="1"/>
  <c r="H99" i="15"/>
  <c r="F99" i="15" s="1"/>
  <c r="E104" i="15"/>
  <c r="H104" i="15"/>
  <c r="I73" i="19"/>
  <c r="J73" i="19" s="1"/>
  <c r="H665" i="19"/>
  <c r="E665" i="19"/>
  <c r="E109" i="15"/>
  <c r="H109" i="15"/>
  <c r="F109" i="15" s="1"/>
  <c r="K15" i="9"/>
  <c r="E79" i="15"/>
  <c r="E115" i="15"/>
  <c r="H79" i="15"/>
  <c r="F79" i="15" s="1"/>
  <c r="H372" i="10"/>
  <c r="E84" i="15"/>
  <c r="H84" i="15"/>
  <c r="F84" i="15" s="1"/>
  <c r="K8" i="43"/>
  <c r="L8" i="43" s="1"/>
  <c r="L7" i="43"/>
  <c r="E659" i="19"/>
  <c r="F1154" i="6"/>
  <c r="E39" i="7"/>
  <c r="F659" i="19"/>
  <c r="J661" i="19"/>
  <c r="H421" i="19"/>
  <c r="F421" i="19" s="1"/>
  <c r="K422" i="19" s="1"/>
  <c r="L422" i="19" s="1"/>
  <c r="L423" i="19" s="1"/>
  <c r="H87" i="20" s="1"/>
  <c r="K10" i="43"/>
  <c r="L10" i="43" s="1"/>
  <c r="L9" i="43"/>
  <c r="F104" i="15"/>
  <c r="F89" i="15"/>
  <c r="L292" i="10"/>
  <c r="H54" i="11" s="1"/>
  <c r="F361" i="19"/>
  <c r="K364" i="19"/>
  <c r="L364" i="19" s="1"/>
  <c r="K638" i="19"/>
  <c r="L638" i="19" s="1"/>
  <c r="L646" i="19"/>
  <c r="J646" i="19"/>
  <c r="J640" i="19" s="1"/>
  <c r="I638" i="19"/>
  <c r="J638" i="19" s="1"/>
  <c r="F32" i="20"/>
  <c r="G18" i="20"/>
  <c r="I645" i="19"/>
  <c r="D5" i="7"/>
  <c r="C5" i="7" s="1"/>
  <c r="L157" i="10"/>
  <c r="H30" i="11" s="1"/>
  <c r="E30" i="11" s="1"/>
  <c r="E18" i="10"/>
  <c r="H647" i="19"/>
  <c r="H433" i="19"/>
  <c r="F433" i="19" s="1"/>
  <c r="H26" i="18"/>
  <c r="G502" i="19" s="1"/>
  <c r="C28" i="18"/>
  <c r="H28" i="18" s="1"/>
  <c r="G511" i="19" s="1"/>
  <c r="C19" i="7"/>
  <c r="G608" i="19"/>
  <c r="K35" i="18"/>
  <c r="F69" i="20"/>
  <c r="E98" i="20"/>
  <c r="K265" i="19"/>
  <c r="K279" i="19"/>
  <c r="L279" i="19" s="1"/>
  <c r="F537" i="19"/>
  <c r="E347" i="10"/>
  <c r="F135" i="10"/>
  <c r="F139" i="10"/>
  <c r="L151" i="10"/>
  <c r="H29" i="11" s="1"/>
  <c r="L234" i="10"/>
  <c r="E234" i="10"/>
  <c r="G122" i="20"/>
  <c r="F392" i="19"/>
  <c r="E81" i="20"/>
  <c r="F383" i="19"/>
  <c r="F496" i="19"/>
  <c r="D6" i="9"/>
  <c r="I6" i="9" s="1"/>
  <c r="I31" i="10" s="1"/>
  <c r="J31" i="10" s="1"/>
  <c r="J32" i="10" s="1"/>
  <c r="G9" i="11" s="1"/>
  <c r="I19" i="19" s="1"/>
  <c r="J19" i="19" s="1"/>
  <c r="J20" i="19" s="1"/>
  <c r="G8" i="20" s="1"/>
  <c r="D18" i="18"/>
  <c r="I18" i="18" s="1"/>
  <c r="I200" i="10"/>
  <c r="I178" i="10"/>
  <c r="J178" i="10" s="1"/>
  <c r="J181" i="10" s="1"/>
  <c r="G34" i="11" s="1"/>
  <c r="H491" i="19"/>
  <c r="H492" i="19" s="1"/>
  <c r="F492" i="19" s="1"/>
  <c r="J52" i="19"/>
  <c r="E52" i="19"/>
  <c r="F78" i="10"/>
  <c r="H80" i="10"/>
  <c r="I89" i="19"/>
  <c r="I94" i="19"/>
  <c r="J94" i="19" s="1"/>
  <c r="F94" i="19" s="1"/>
  <c r="J87" i="19"/>
  <c r="G19" i="20" s="1"/>
  <c r="F72" i="10"/>
  <c r="E18" i="11"/>
  <c r="E84" i="19"/>
  <c r="L68" i="19"/>
  <c r="F68" i="19" s="1"/>
  <c r="K33" i="18"/>
  <c r="E404" i="19"/>
  <c r="L440" i="19"/>
  <c r="L441" i="19" s="1"/>
  <c r="H90" i="20" s="1"/>
  <c r="E337" i="10"/>
  <c r="F19" i="11"/>
  <c r="H423" i="10"/>
  <c r="F423" i="10" s="1"/>
  <c r="E429" i="10"/>
  <c r="H458" i="19"/>
  <c r="H459" i="19" s="1"/>
  <c r="H429" i="10"/>
  <c r="F429" i="10" s="1"/>
  <c r="J569" i="19"/>
  <c r="G137" i="19"/>
  <c r="H137" i="19" s="1"/>
  <c r="H138" i="19" s="1"/>
  <c r="L206" i="10"/>
  <c r="L212" i="10"/>
  <c r="L199" i="10"/>
  <c r="L201" i="10" s="1"/>
  <c r="H37" i="11" s="1"/>
  <c r="K158" i="19" s="1"/>
  <c r="K205" i="10"/>
  <c r="L205" i="10" s="1"/>
  <c r="K211" i="10"/>
  <c r="L211" i="10" s="1"/>
  <c r="J199" i="10"/>
  <c r="I211" i="10"/>
  <c r="I205" i="10"/>
  <c r="J205" i="10" s="1"/>
  <c r="J431" i="10"/>
  <c r="J432" i="10" s="1"/>
  <c r="G74" i="11" s="1"/>
  <c r="I234" i="19" s="1"/>
  <c r="E83" i="20"/>
  <c r="F388" i="19"/>
  <c r="E70" i="20"/>
  <c r="L428" i="19"/>
  <c r="F428" i="19" s="1"/>
  <c r="F22" i="11"/>
  <c r="E22" i="11" s="1"/>
  <c r="E21" i="11"/>
  <c r="F18" i="10"/>
  <c r="J19" i="10"/>
  <c r="G5" i="11" s="1"/>
  <c r="D34" i="18"/>
  <c r="I34" i="18" s="1"/>
  <c r="D19" i="18"/>
  <c r="I19" i="18" s="1"/>
  <c r="I22" i="19" s="1"/>
  <c r="D31" i="18"/>
  <c r="I31" i="18" s="1"/>
  <c r="D5" i="9"/>
  <c r="I5" i="9" s="1"/>
  <c r="I28" i="10" s="1"/>
  <c r="D30" i="18"/>
  <c r="I30" i="18" s="1"/>
  <c r="I128" i="19" s="1"/>
  <c r="D22" i="18"/>
  <c r="I22" i="18" s="1"/>
  <c r="F143" i="6"/>
  <c r="E145" i="6" s="1"/>
  <c r="F145" i="6" s="1"/>
  <c r="F149" i="6" s="1"/>
  <c r="E9" i="7" s="1"/>
  <c r="E207" i="6"/>
  <c r="D11" i="18"/>
  <c r="I11" i="18" s="1"/>
  <c r="D13" i="18"/>
  <c r="I13" i="18" s="1"/>
  <c r="E428" i="19"/>
  <c r="E332" i="10"/>
  <c r="L308" i="10"/>
  <c r="L309" i="10" s="1"/>
  <c r="F402" i="19"/>
  <c r="F11" i="10"/>
  <c r="F342" i="19"/>
  <c r="L506" i="19"/>
  <c r="H100" i="20" s="1"/>
  <c r="F12" i="19"/>
  <c r="H13" i="19"/>
  <c r="E26" i="15"/>
  <c r="F36" i="15"/>
  <c r="I25" i="19"/>
  <c r="J25" i="19" s="1"/>
  <c r="J28" i="19" s="1"/>
  <c r="G10" i="20" s="1"/>
  <c r="L169" i="10"/>
  <c r="H32" i="11" s="1"/>
  <c r="F411" i="19"/>
  <c r="E512" i="19"/>
  <c r="J425" i="10"/>
  <c r="J426" i="10" s="1"/>
  <c r="G73" i="11" s="1"/>
  <c r="I437" i="10"/>
  <c r="J437" i="10" s="1"/>
  <c r="J438" i="10" s="1"/>
  <c r="G75" i="11" s="1"/>
  <c r="I242" i="19" s="1"/>
  <c r="J242" i="19" s="1"/>
  <c r="F32" i="15"/>
  <c r="E32" i="15"/>
  <c r="F77" i="6"/>
  <c r="F98" i="6" s="1"/>
  <c r="F87" i="10"/>
  <c r="F67" i="10"/>
  <c r="F17" i="11"/>
  <c r="E17" i="11" s="1"/>
  <c r="H540" i="19"/>
  <c r="E540" i="19"/>
  <c r="E112" i="20"/>
  <c r="I191" i="10"/>
  <c r="J191" i="10" s="1"/>
  <c r="K32" i="18"/>
  <c r="C8" i="9"/>
  <c r="H8" i="9" s="1"/>
  <c r="C21" i="7"/>
  <c r="C9" i="9"/>
  <c r="H9" i="9" s="1"/>
  <c r="H228" i="10"/>
  <c r="E228" i="10"/>
  <c r="U137" i="6"/>
  <c r="K169" i="6"/>
  <c r="U169" i="6" s="1"/>
  <c r="F144" i="10"/>
  <c r="L145" i="10"/>
  <c r="H28" i="11" s="1"/>
  <c r="K29" i="18"/>
  <c r="E224" i="10"/>
  <c r="L224" i="10"/>
  <c r="F109" i="6"/>
  <c r="F135" i="6"/>
  <c r="F141" i="6" s="1"/>
  <c r="E313" i="19"/>
  <c r="H313" i="19"/>
  <c r="F313" i="19" s="1"/>
  <c r="E320" i="19"/>
  <c r="H320" i="19"/>
  <c r="F320" i="19" s="1"/>
  <c r="D4" i="7"/>
  <c r="F32" i="6"/>
  <c r="D8" i="7"/>
  <c r="F194" i="6"/>
  <c r="E282" i="10"/>
  <c r="L282" i="10"/>
  <c r="G69" i="19"/>
  <c r="H69" i="19" s="1"/>
  <c r="H70" i="19" s="1"/>
  <c r="F16" i="20" s="1"/>
  <c r="G59" i="19"/>
  <c r="H59" i="19" s="1"/>
  <c r="H60" i="19" s="1"/>
  <c r="H199" i="10"/>
  <c r="E199" i="10"/>
  <c r="F41" i="11"/>
  <c r="E41" i="11" s="1"/>
  <c r="F221" i="10"/>
  <c r="H55" i="15"/>
  <c r="J366" i="10"/>
  <c r="E366" i="10"/>
  <c r="K276" i="19"/>
  <c r="L269" i="19"/>
  <c r="F40" i="11"/>
  <c r="E40" i="11" s="1"/>
  <c r="F217" i="10"/>
  <c r="F398" i="10"/>
  <c r="K400" i="10"/>
  <c r="L275" i="10"/>
  <c r="E275" i="10"/>
  <c r="E49" i="15"/>
  <c r="H49" i="15"/>
  <c r="F49" i="15" s="1"/>
  <c r="G24" i="11"/>
  <c r="E24" i="11" s="1"/>
  <c r="F117" i="10"/>
  <c r="G23" i="11"/>
  <c r="E23" i="11" s="1"/>
  <c r="F100" i="10"/>
  <c r="E388" i="10"/>
  <c r="L388" i="10"/>
  <c r="H37" i="15"/>
  <c r="E37" i="15"/>
  <c r="G43" i="11"/>
  <c r="I34" i="10"/>
  <c r="F28" i="11"/>
  <c r="J443" i="10"/>
  <c r="J444" i="10" s="1"/>
  <c r="G76" i="11" s="1"/>
  <c r="I247" i="19" s="1"/>
  <c r="J247" i="19" s="1"/>
  <c r="I449" i="10"/>
  <c r="J449" i="10" s="1"/>
  <c r="J450" i="10" s="1"/>
  <c r="G77" i="11" s="1"/>
  <c r="I252" i="19" s="1"/>
  <c r="J252" i="19" s="1"/>
  <c r="I455" i="10"/>
  <c r="J348" i="10"/>
  <c r="F347" i="10"/>
  <c r="L96" i="19"/>
  <c r="L97" i="19" s="1"/>
  <c r="K101" i="19"/>
  <c r="L101" i="19" s="1"/>
  <c r="L102" i="19" s="1"/>
  <c r="J227" i="10"/>
  <c r="E227" i="10"/>
  <c r="H404" i="10"/>
  <c r="E404" i="10"/>
  <c r="F14" i="11"/>
  <c r="E14" i="11" s="1"/>
  <c r="F49" i="10"/>
  <c r="F99" i="20"/>
  <c r="E99" i="20" s="1"/>
  <c r="F500" i="19"/>
  <c r="H392" i="10"/>
  <c r="E392" i="10"/>
  <c r="F61" i="11"/>
  <c r="K177" i="10"/>
  <c r="L177" i="10" s="1"/>
  <c r="K190" i="10"/>
  <c r="L190" i="10" s="1"/>
  <c r="K184" i="10"/>
  <c r="L184" i="10" s="1"/>
  <c r="E319" i="19"/>
  <c r="H319" i="19"/>
  <c r="F319" i="19" s="1"/>
  <c r="F131" i="10"/>
  <c r="G25" i="11"/>
  <c r="E25" i="11" s="1"/>
  <c r="F375" i="19"/>
  <c r="H376" i="19"/>
  <c r="F332" i="10"/>
  <c r="L333" i="10"/>
  <c r="E395" i="19"/>
  <c r="H395" i="19"/>
  <c r="J223" i="10"/>
  <c r="E223" i="10"/>
  <c r="E14" i="15"/>
  <c r="H14" i="15"/>
  <c r="E36" i="15"/>
  <c r="J96" i="19"/>
  <c r="I101" i="19"/>
  <c r="J101" i="19" s="1"/>
  <c r="C14" i="7"/>
  <c r="G262" i="19"/>
  <c r="K371" i="10"/>
  <c r="L371" i="10" s="1"/>
  <c r="L372" i="10" s="1"/>
  <c r="H64" i="11" s="1"/>
  <c r="L361" i="10"/>
  <c r="L362" i="10" s="1"/>
  <c r="H62" i="11" s="1"/>
  <c r="K150" i="19" s="1"/>
  <c r="L150" i="19" s="1"/>
  <c r="L152" i="19" s="1"/>
  <c r="I371" i="10"/>
  <c r="J361" i="10"/>
  <c r="E361" i="10"/>
  <c r="E410" i="10"/>
  <c r="H410" i="10"/>
  <c r="G416" i="10"/>
  <c r="L356" i="10"/>
  <c r="E356" i="10"/>
  <c r="F320" i="10"/>
  <c r="L321" i="10"/>
  <c r="H57" i="11" s="1"/>
  <c r="E57" i="11" s="1"/>
  <c r="E291" i="10"/>
  <c r="J291" i="10"/>
  <c r="K178" i="10"/>
  <c r="L178" i="10" s="1"/>
  <c r="K185" i="10"/>
  <c r="L185" i="10" s="1"/>
  <c r="K25" i="19"/>
  <c r="L25" i="19" s="1"/>
  <c r="L28" i="19" s="1"/>
  <c r="H10" i="20" s="1"/>
  <c r="K191" i="10"/>
  <c r="L191" i="10" s="1"/>
  <c r="I125" i="19"/>
  <c r="G55" i="11"/>
  <c r="E55" i="11" s="1"/>
  <c r="F302" i="10"/>
  <c r="F32" i="11"/>
  <c r="G67" i="20"/>
  <c r="F327" i="19"/>
  <c r="J376" i="10"/>
  <c r="E376" i="10"/>
  <c r="F384" i="19"/>
  <c r="F79" i="20"/>
  <c r="E79" i="20" s="1"/>
  <c r="H562" i="19"/>
  <c r="G646" i="19" s="1"/>
  <c r="G638" i="19" s="1"/>
  <c r="F560" i="19"/>
  <c r="F26" i="20"/>
  <c r="F122" i="19"/>
  <c r="F432" i="19"/>
  <c r="E120" i="15"/>
  <c r="F43" i="10"/>
  <c r="H44" i="10"/>
  <c r="J28" i="15"/>
  <c r="F26" i="15"/>
  <c r="L268" i="10"/>
  <c r="E268" i="10"/>
  <c r="H19" i="10"/>
  <c r="F15" i="10"/>
  <c r="H384" i="10"/>
  <c r="F379" i="10"/>
  <c r="M139" i="6"/>
  <c r="U107" i="6"/>
  <c r="J38" i="10"/>
  <c r="G318" i="19"/>
  <c r="H304" i="19"/>
  <c r="E304" i="19"/>
  <c r="E435" i="10"/>
  <c r="H435" i="10"/>
  <c r="F435" i="10" s="1"/>
  <c r="F7" i="11"/>
  <c r="E7" i="11" s="1"/>
  <c r="F26" i="10"/>
  <c r="J42" i="15"/>
  <c r="J46" i="15" s="1"/>
  <c r="G9" i="13" s="1"/>
  <c r="I124" i="19" s="1"/>
  <c r="I42" i="15"/>
  <c r="K419" i="10"/>
  <c r="L413" i="10"/>
  <c r="F40" i="19"/>
  <c r="H45" i="19"/>
  <c r="F337" i="10"/>
  <c r="L338" i="10"/>
  <c r="K145" i="19" s="1"/>
  <c r="F332" i="19"/>
  <c r="F68" i="20"/>
  <c r="I137" i="19"/>
  <c r="I458" i="19"/>
  <c r="J503" i="19"/>
  <c r="F503" i="19" s="1"/>
  <c r="E503" i="19"/>
  <c r="E20" i="15"/>
  <c r="H20" i="15"/>
  <c r="F404" i="19"/>
  <c r="J406" i="19" s="1"/>
  <c r="L407" i="19"/>
  <c r="H84" i="20" s="1"/>
  <c r="G485" i="19"/>
  <c r="H478" i="19"/>
  <c r="F478" i="19" s="1"/>
  <c r="E478" i="19"/>
  <c r="H441" i="10"/>
  <c r="F441" i="10" s="1"/>
  <c r="G453" i="10"/>
  <c r="E441" i="10"/>
  <c r="G447" i="10"/>
  <c r="K16" i="19"/>
  <c r="L59" i="15"/>
  <c r="J59" i="15"/>
  <c r="H59" i="15"/>
  <c r="F65" i="11"/>
  <c r="H145" i="19"/>
  <c r="G389" i="10"/>
  <c r="C12" i="7"/>
  <c r="L21" i="10"/>
  <c r="L175" i="10"/>
  <c r="F174" i="10"/>
  <c r="K12" i="14"/>
  <c r="F51" i="11"/>
  <c r="I290" i="19"/>
  <c r="J290" i="19" s="1"/>
  <c r="I297" i="19"/>
  <c r="J297" i="19" s="1"/>
  <c r="J283" i="19"/>
  <c r="F17" i="14"/>
  <c r="H43" i="15"/>
  <c r="F43" i="15" s="1"/>
  <c r="E43" i="15"/>
  <c r="F15" i="11"/>
  <c r="E15" i="11" s="1"/>
  <c r="F54" i="10"/>
  <c r="F311" i="19"/>
  <c r="J72" i="19"/>
  <c r="F64" i="11"/>
  <c r="H247" i="10"/>
  <c r="L129" i="19"/>
  <c r="E129" i="19"/>
  <c r="H16" i="14"/>
  <c r="J16" i="14"/>
  <c r="K60" i="15" s="1"/>
  <c r="L60" i="15" s="1"/>
  <c r="H251" i="10"/>
  <c r="H470" i="19"/>
  <c r="F163" i="10"/>
  <c r="H31" i="11"/>
  <c r="E31" i="11" s="1"/>
  <c r="E7" i="15"/>
  <c r="H7" i="15"/>
  <c r="J34" i="15"/>
  <c r="F512" i="19"/>
  <c r="L515" i="19"/>
  <c r="H102" i="20" s="1"/>
  <c r="H235" i="10"/>
  <c r="F445" i="19"/>
  <c r="K446" i="19" s="1"/>
  <c r="L446" i="19" s="1"/>
  <c r="L447" i="19" s="1"/>
  <c r="H91" i="20" s="1"/>
  <c r="G42" i="15"/>
  <c r="K10" i="14"/>
  <c r="H48" i="15"/>
  <c r="E48" i="15"/>
  <c r="K645" i="19" l="1"/>
  <c r="K637" i="19" s="1"/>
  <c r="L637" i="19" s="1"/>
  <c r="I602" i="19"/>
  <c r="D17" i="9"/>
  <c r="I17" i="9" s="1"/>
  <c r="J195" i="10"/>
  <c r="G36" i="11" s="1"/>
  <c r="I140" i="19" s="1"/>
  <c r="J140" i="19" s="1"/>
  <c r="J143" i="19" s="1"/>
  <c r="G30" i="20" s="1"/>
  <c r="D6" i="7"/>
  <c r="H667" i="19"/>
  <c r="F665" i="19"/>
  <c r="F157" i="10"/>
  <c r="H435" i="19"/>
  <c r="F89" i="20" s="1"/>
  <c r="E89" i="20" s="1"/>
  <c r="K434" i="19"/>
  <c r="L434" i="19" s="1"/>
  <c r="I9" i="43"/>
  <c r="I7" i="43"/>
  <c r="F308" i="10"/>
  <c r="E422" i="19"/>
  <c r="G129" i="20"/>
  <c r="F661" i="19"/>
  <c r="D15" i="14"/>
  <c r="C39" i="7"/>
  <c r="E638" i="19"/>
  <c r="H638" i="19"/>
  <c r="F638" i="19" s="1"/>
  <c r="J645" i="19"/>
  <c r="I637" i="19"/>
  <c r="J637" i="19" s="1"/>
  <c r="H646" i="19"/>
  <c r="E646" i="19"/>
  <c r="H32" i="20"/>
  <c r="G114" i="20"/>
  <c r="E114" i="20" s="1"/>
  <c r="I647" i="19"/>
  <c r="I639" i="19" s="1"/>
  <c r="E67" i="20"/>
  <c r="E69" i="20"/>
  <c r="E26" i="20"/>
  <c r="H608" i="19"/>
  <c r="E608" i="19"/>
  <c r="H511" i="19"/>
  <c r="H515" i="19" s="1"/>
  <c r="F102" i="20" s="1"/>
  <c r="G517" i="19"/>
  <c r="H517" i="19" s="1"/>
  <c r="H518" i="19" s="1"/>
  <c r="F103" i="20" s="1"/>
  <c r="G508" i="19"/>
  <c r="H508" i="19" s="1"/>
  <c r="H509" i="19" s="1"/>
  <c r="F101" i="20" s="1"/>
  <c r="H502" i="19"/>
  <c r="H506" i="19" s="1"/>
  <c r="F100" i="20" s="1"/>
  <c r="K272" i="19"/>
  <c r="L272" i="19" s="1"/>
  <c r="L273" i="19" s="1"/>
  <c r="H59" i="20" s="1"/>
  <c r="L265" i="19"/>
  <c r="L266" i="19" s="1"/>
  <c r="H58" i="20" s="1"/>
  <c r="F151" i="10"/>
  <c r="K72" i="19"/>
  <c r="E29" i="11"/>
  <c r="E32" i="11"/>
  <c r="I357" i="19"/>
  <c r="J357" i="19" s="1"/>
  <c r="I351" i="19"/>
  <c r="J351" i="19" s="1"/>
  <c r="F199" i="10"/>
  <c r="F234" i="10"/>
  <c r="L235" i="10"/>
  <c r="H44" i="11" s="1"/>
  <c r="J602" i="19"/>
  <c r="L70" i="19"/>
  <c r="H16" i="20" s="1"/>
  <c r="F97" i="20"/>
  <c r="E97" i="20" s="1"/>
  <c r="I479" i="19"/>
  <c r="J479" i="19" s="1"/>
  <c r="J481" i="19" s="1"/>
  <c r="G95" i="20" s="1"/>
  <c r="D12" i="18"/>
  <c r="I212" i="10"/>
  <c r="J212" i="10" s="1"/>
  <c r="I206" i="10"/>
  <c r="J206" i="10" s="1"/>
  <c r="J207" i="10" s="1"/>
  <c r="G38" i="11" s="1"/>
  <c r="J200" i="10"/>
  <c r="J201" i="10" s="1"/>
  <c r="G37" i="11" s="1"/>
  <c r="I158" i="19" s="1"/>
  <c r="F491" i="19"/>
  <c r="F52" i="19"/>
  <c r="J53" i="19"/>
  <c r="G95" i="19"/>
  <c r="H95" i="19" s="1"/>
  <c r="F95" i="19" s="1"/>
  <c r="G90" i="19"/>
  <c r="H90" i="19" s="1"/>
  <c r="F90" i="19" s="1"/>
  <c r="F205" i="10"/>
  <c r="F80" i="10"/>
  <c r="F20" i="11"/>
  <c r="E205" i="10"/>
  <c r="J97" i="19"/>
  <c r="G21" i="20" s="1"/>
  <c r="E19" i="11"/>
  <c r="I229" i="19"/>
  <c r="J229" i="19" s="1"/>
  <c r="I99" i="19"/>
  <c r="E94" i="19"/>
  <c r="J89" i="19"/>
  <c r="E89" i="19"/>
  <c r="F569" i="19"/>
  <c r="F145" i="10"/>
  <c r="F169" i="10"/>
  <c r="L213" i="10"/>
  <c r="H39" i="11" s="1"/>
  <c r="K162" i="19" s="1"/>
  <c r="L162" i="19" s="1"/>
  <c r="L207" i="10"/>
  <c r="H38" i="11" s="1"/>
  <c r="J211" i="10"/>
  <c r="E211" i="10"/>
  <c r="L429" i="19"/>
  <c r="H88" i="20" s="1"/>
  <c r="L195" i="10"/>
  <c r="H36" i="11" s="1"/>
  <c r="K140" i="19" s="1"/>
  <c r="L140" i="19" s="1"/>
  <c r="E239" i="6"/>
  <c r="F239" i="6" s="1"/>
  <c r="E241" i="6" s="1"/>
  <c r="F241" i="6" s="1"/>
  <c r="F249" i="6" s="1"/>
  <c r="F207" i="6"/>
  <c r="E209" i="6" s="1"/>
  <c r="F209" i="6" s="1"/>
  <c r="F213" i="6" s="1"/>
  <c r="F226" i="6" s="1"/>
  <c r="F422" i="19"/>
  <c r="F6" i="20"/>
  <c r="E6" i="20" s="1"/>
  <c r="F13" i="19"/>
  <c r="I224" i="19"/>
  <c r="J224" i="19" s="1"/>
  <c r="I521" i="19"/>
  <c r="J521" i="19" s="1"/>
  <c r="J523" i="19" s="1"/>
  <c r="G104" i="20" s="1"/>
  <c r="E68" i="20"/>
  <c r="H541" i="19"/>
  <c r="F540" i="19"/>
  <c r="F321" i="10"/>
  <c r="G40" i="10"/>
  <c r="K9" i="9"/>
  <c r="L188" i="10"/>
  <c r="H35" i="11" s="1"/>
  <c r="F282" i="10"/>
  <c r="L283" i="10"/>
  <c r="C8" i="7"/>
  <c r="C4" i="9"/>
  <c r="H4" i="9" s="1"/>
  <c r="C20" i="18"/>
  <c r="H20" i="18" s="1"/>
  <c r="K20" i="18" s="1"/>
  <c r="C11" i="9"/>
  <c r="H11" i="9" s="1"/>
  <c r="K11" i="9" s="1"/>
  <c r="D9" i="7"/>
  <c r="F162" i="6"/>
  <c r="F228" i="10"/>
  <c r="H229" i="10"/>
  <c r="H239" i="10"/>
  <c r="D7" i="7"/>
  <c r="F130" i="6"/>
  <c r="F224" i="10"/>
  <c r="L225" i="10"/>
  <c r="H42" i="11" s="1"/>
  <c r="G37" i="10"/>
  <c r="K8" i="9"/>
  <c r="C7" i="9"/>
  <c r="H7" i="9" s="1"/>
  <c r="C4" i="7"/>
  <c r="C36" i="18"/>
  <c r="H36" i="18" s="1"/>
  <c r="H243" i="10"/>
  <c r="E416" i="10"/>
  <c r="H416" i="10"/>
  <c r="G422" i="10"/>
  <c r="G428" i="10"/>
  <c r="H16" i="15"/>
  <c r="F14" i="15"/>
  <c r="H58" i="11"/>
  <c r="F333" i="10"/>
  <c r="G36" i="19"/>
  <c r="F404" i="10"/>
  <c r="K406" i="10"/>
  <c r="J455" i="10"/>
  <c r="J456" i="10" s="1"/>
  <c r="G78" i="11" s="1"/>
  <c r="I461" i="10"/>
  <c r="G78" i="19"/>
  <c r="E28" i="11"/>
  <c r="L276" i="10"/>
  <c r="F275" i="10"/>
  <c r="J367" i="10"/>
  <c r="F366" i="10"/>
  <c r="L357" i="10"/>
  <c r="F356" i="10"/>
  <c r="J371" i="10"/>
  <c r="E371" i="10"/>
  <c r="H262" i="19"/>
  <c r="E262" i="19"/>
  <c r="G269" i="19"/>
  <c r="H56" i="11"/>
  <c r="E56" i="11" s="1"/>
  <c r="F309" i="10"/>
  <c r="J225" i="10"/>
  <c r="F223" i="10"/>
  <c r="F348" i="10"/>
  <c r="J349" i="10"/>
  <c r="L390" i="10"/>
  <c r="H67" i="11" s="1"/>
  <c r="K177" i="19" s="1"/>
  <c r="L177" i="19" s="1"/>
  <c r="F388" i="10"/>
  <c r="F291" i="10"/>
  <c r="J292" i="10"/>
  <c r="J362" i="10"/>
  <c r="F361" i="10"/>
  <c r="H396" i="19"/>
  <c r="F395" i="19"/>
  <c r="F376" i="19"/>
  <c r="F77" i="20"/>
  <c r="E77" i="20" s="1"/>
  <c r="K394" i="10"/>
  <c r="F392" i="10"/>
  <c r="J34" i="10"/>
  <c r="H40" i="15"/>
  <c r="F37" i="15"/>
  <c r="L276" i="19"/>
  <c r="L280" i="19" s="1"/>
  <c r="H60" i="20" s="1"/>
  <c r="K283" i="19"/>
  <c r="H57" i="15"/>
  <c r="L181" i="10"/>
  <c r="H34" i="11" s="1"/>
  <c r="F376" i="10"/>
  <c r="J377" i="10"/>
  <c r="J125" i="19"/>
  <c r="F410" i="10"/>
  <c r="K412" i="10"/>
  <c r="K167" i="19"/>
  <c r="L167" i="19" s="1"/>
  <c r="L169" i="19" s="1"/>
  <c r="H36" i="20" s="1"/>
  <c r="L158" i="19"/>
  <c r="L160" i="19" s="1"/>
  <c r="J229" i="10"/>
  <c r="F227" i="10"/>
  <c r="H22" i="20"/>
  <c r="H21" i="20"/>
  <c r="E400" i="10"/>
  <c r="L400" i="10"/>
  <c r="F113" i="20"/>
  <c r="E113" i="20" s="1"/>
  <c r="F562" i="19"/>
  <c r="F129" i="19"/>
  <c r="L130" i="19"/>
  <c r="H28" i="20" s="1"/>
  <c r="H52" i="15"/>
  <c r="F48" i="15"/>
  <c r="H42" i="15"/>
  <c r="E42" i="15"/>
  <c r="F7" i="15"/>
  <c r="H10" i="15"/>
  <c r="C15" i="18"/>
  <c r="H15" i="18" s="1"/>
  <c r="K15" i="18" s="1"/>
  <c r="C23" i="18"/>
  <c r="H23" i="18" s="1"/>
  <c r="K23" i="18" s="1"/>
  <c r="C7" i="18"/>
  <c r="H7" i="18" s="1"/>
  <c r="K7" i="18" s="1"/>
  <c r="C38" i="18"/>
  <c r="H38" i="18" s="1"/>
  <c r="K38" i="18" s="1"/>
  <c r="C4" i="18"/>
  <c r="H4" i="18" s="1"/>
  <c r="K4" i="18" s="1"/>
  <c r="C8" i="18"/>
  <c r="H8" i="18" s="1"/>
  <c r="K8" i="18" s="1"/>
  <c r="C5" i="18"/>
  <c r="H5" i="18" s="1"/>
  <c r="K5" i="18" s="1"/>
  <c r="C6" i="7"/>
  <c r="C17" i="18"/>
  <c r="H17" i="18" s="1"/>
  <c r="C37" i="18"/>
  <c r="H37" i="18" s="1"/>
  <c r="K37" i="18" s="1"/>
  <c r="C25" i="18"/>
  <c r="H25" i="18" s="1"/>
  <c r="K25" i="18" s="1"/>
  <c r="C16" i="18"/>
  <c r="H16" i="18" s="1"/>
  <c r="K16" i="18" s="1"/>
  <c r="C9" i="18"/>
  <c r="H9" i="18" s="1"/>
  <c r="K9" i="18" s="1"/>
  <c r="J17" i="14"/>
  <c r="K65" i="15" s="1"/>
  <c r="L65" i="15" s="1"/>
  <c r="H17" i="14"/>
  <c r="H255" i="10"/>
  <c r="L62" i="15"/>
  <c r="H12" i="13" s="1"/>
  <c r="K286" i="19" s="1"/>
  <c r="K293" i="19" s="1"/>
  <c r="H447" i="10"/>
  <c r="F447" i="10" s="1"/>
  <c r="E447" i="10"/>
  <c r="E485" i="19"/>
  <c r="H485" i="19"/>
  <c r="J137" i="19"/>
  <c r="H423" i="19"/>
  <c r="F87" i="20" s="1"/>
  <c r="L269" i="10"/>
  <c r="F268" i="10"/>
  <c r="F44" i="11"/>
  <c r="J128" i="19"/>
  <c r="H148" i="19"/>
  <c r="G644" i="19" s="1"/>
  <c r="G636" i="19" s="1"/>
  <c r="K425" i="10"/>
  <c r="L419" i="10"/>
  <c r="K431" i="10"/>
  <c r="F304" i="19"/>
  <c r="G11" i="11"/>
  <c r="L383" i="10"/>
  <c r="E383" i="10"/>
  <c r="L22" i="10"/>
  <c r="G401" i="10"/>
  <c r="H389" i="10"/>
  <c r="E389" i="10"/>
  <c r="F59" i="15"/>
  <c r="L16" i="19"/>
  <c r="E453" i="10"/>
  <c r="H453" i="10"/>
  <c r="F453" i="10" s="1"/>
  <c r="G459" i="10"/>
  <c r="H22" i="15"/>
  <c r="F20" i="15"/>
  <c r="F92" i="20"/>
  <c r="F13" i="20"/>
  <c r="F45" i="19"/>
  <c r="H318" i="19"/>
  <c r="E318" i="19"/>
  <c r="G6" i="13"/>
  <c r="F28" i="15"/>
  <c r="F44" i="10"/>
  <c r="F13" i="11"/>
  <c r="E13" i="11" s="1"/>
  <c r="F48" i="11"/>
  <c r="G110" i="19" s="1"/>
  <c r="F251" i="10"/>
  <c r="G60" i="15"/>
  <c r="F47" i="11"/>
  <c r="F247" i="10"/>
  <c r="F29" i="20"/>
  <c r="G7" i="13"/>
  <c r="E7" i="13" s="1"/>
  <c r="F34" i="15"/>
  <c r="H471" i="19"/>
  <c r="F15" i="20"/>
  <c r="J75" i="19"/>
  <c r="J76" i="19" s="1"/>
  <c r="G17" i="20" s="1"/>
  <c r="J28" i="10"/>
  <c r="H64" i="15"/>
  <c r="J64" i="15"/>
  <c r="L64" i="15"/>
  <c r="H33" i="11"/>
  <c r="E33" i="11" s="1"/>
  <c r="F175" i="10"/>
  <c r="J407" i="19"/>
  <c r="F406" i="19"/>
  <c r="J458" i="19"/>
  <c r="I470" i="19"/>
  <c r="F338" i="10"/>
  <c r="J124" i="19"/>
  <c r="M171" i="6"/>
  <c r="U171" i="6" s="1"/>
  <c r="U139" i="6"/>
  <c r="F66" i="11"/>
  <c r="F5" i="11"/>
  <c r="E5" i="11" s="1"/>
  <c r="F19" i="10"/>
  <c r="J22" i="19"/>
  <c r="F18" i="14"/>
  <c r="L645" i="19" l="1"/>
  <c r="L17" i="43"/>
  <c r="K18" i="43"/>
  <c r="L18" i="43" s="1"/>
  <c r="L67" i="15"/>
  <c r="G602" i="19"/>
  <c r="H602" i="19" s="1"/>
  <c r="H604" i="19" s="1"/>
  <c r="F121" i="20" s="1"/>
  <c r="C17" i="9"/>
  <c r="H17" i="9" s="1"/>
  <c r="G719" i="19" s="1"/>
  <c r="H719" i="19" s="1"/>
  <c r="I719" i="19"/>
  <c r="K17" i="9"/>
  <c r="E434" i="19"/>
  <c r="F130" i="20"/>
  <c r="E130" i="20" s="1"/>
  <c r="F667" i="19"/>
  <c r="L165" i="19"/>
  <c r="H35" i="20" s="1"/>
  <c r="E129" i="20"/>
  <c r="D16" i="14"/>
  <c r="I15" i="14"/>
  <c r="E10" i="7"/>
  <c r="D45" i="18" s="1"/>
  <c r="I45" i="18" s="1"/>
  <c r="J359" i="19"/>
  <c r="G73" i="20" s="1"/>
  <c r="J353" i="19"/>
  <c r="G72" i="20" s="1"/>
  <c r="J639" i="19"/>
  <c r="F639" i="19" s="1"/>
  <c r="E639" i="19"/>
  <c r="L143" i="19"/>
  <c r="H30" i="20" s="1"/>
  <c r="H34" i="20"/>
  <c r="K643" i="19"/>
  <c r="F646" i="19"/>
  <c r="J647" i="19"/>
  <c r="F647" i="19" s="1"/>
  <c r="E647" i="19"/>
  <c r="E602" i="19"/>
  <c r="H609" i="19"/>
  <c r="F608" i="19"/>
  <c r="I363" i="19"/>
  <c r="J363" i="19" s="1"/>
  <c r="E95" i="19"/>
  <c r="L72" i="19"/>
  <c r="E72" i="19"/>
  <c r="F235" i="10"/>
  <c r="E44" i="11"/>
  <c r="E90" i="19"/>
  <c r="D17" i="18"/>
  <c r="I17" i="18" s="1"/>
  <c r="K17" i="18" s="1"/>
  <c r="I12" i="18"/>
  <c r="I8" i="19" s="1"/>
  <c r="J8" i="19" s="1"/>
  <c r="J9" i="19" s="1"/>
  <c r="F53" i="19"/>
  <c r="G14" i="20"/>
  <c r="I23" i="43" s="1"/>
  <c r="I24" i="43" s="1"/>
  <c r="G85" i="19"/>
  <c r="E20" i="11"/>
  <c r="F89" i="19"/>
  <c r="J92" i="19"/>
  <c r="G20" i="20" s="1"/>
  <c r="J99" i="19"/>
  <c r="E99" i="19"/>
  <c r="C18" i="18"/>
  <c r="H18" i="18" s="1"/>
  <c r="K18" i="18" s="1"/>
  <c r="G200" i="10"/>
  <c r="F211" i="10"/>
  <c r="J213" i="10"/>
  <c r="G39" i="11" s="1"/>
  <c r="I162" i="19" s="1"/>
  <c r="E13" i="20"/>
  <c r="E11" i="7"/>
  <c r="I603" i="19" s="1"/>
  <c r="F258" i="6"/>
  <c r="L435" i="19"/>
  <c r="F435" i="19" s="1"/>
  <c r="F434" i="19"/>
  <c r="F541" i="19"/>
  <c r="F108" i="20"/>
  <c r="H13" i="13"/>
  <c r="C19" i="18"/>
  <c r="H19" i="18" s="1"/>
  <c r="C13" i="18"/>
  <c r="H13" i="18" s="1"/>
  <c r="K13" i="18" s="1"/>
  <c r="C31" i="18"/>
  <c r="H31" i="18" s="1"/>
  <c r="K31" i="18" s="1"/>
  <c r="C11" i="18"/>
  <c r="H11" i="18" s="1"/>
  <c r="K11" i="18" s="1"/>
  <c r="C30" i="18"/>
  <c r="H30" i="18" s="1"/>
  <c r="C34" i="18"/>
  <c r="H34" i="18" s="1"/>
  <c r="K34" i="18" s="1"/>
  <c r="C6" i="9"/>
  <c r="H6" i="9" s="1"/>
  <c r="C10" i="18"/>
  <c r="H10" i="18" s="1"/>
  <c r="K10" i="18" s="1"/>
  <c r="C6" i="18"/>
  <c r="H6" i="18" s="1"/>
  <c r="K6" i="18" s="1"/>
  <c r="C14" i="18"/>
  <c r="H14" i="18" s="1"/>
  <c r="K14" i="18" s="1"/>
  <c r="C5" i="9"/>
  <c r="H5" i="9" s="1"/>
  <c r="C22" i="18"/>
  <c r="H22" i="18" s="1"/>
  <c r="K22" i="18" s="1"/>
  <c r="C12" i="18"/>
  <c r="H12" i="18" s="1"/>
  <c r="C7" i="7"/>
  <c r="G479" i="19"/>
  <c r="C9" i="7"/>
  <c r="G125" i="19"/>
  <c r="K36" i="18"/>
  <c r="H37" i="10"/>
  <c r="E37" i="10"/>
  <c r="G21" i="10"/>
  <c r="K4" i="9"/>
  <c r="H53" i="11"/>
  <c r="E53" i="11" s="1"/>
  <c r="F283" i="10"/>
  <c r="E40" i="10"/>
  <c r="H40" i="10"/>
  <c r="F243" i="10"/>
  <c r="F46" i="11"/>
  <c r="G34" i="10"/>
  <c r="K7" i="9"/>
  <c r="F45" i="11"/>
  <c r="E45" i="11" s="1"/>
  <c r="F239" i="10"/>
  <c r="F8" i="13"/>
  <c r="F40" i="15"/>
  <c r="G54" i="11"/>
  <c r="E54" i="11" s="1"/>
  <c r="F292" i="10"/>
  <c r="H269" i="19"/>
  <c r="E269" i="19"/>
  <c r="G276" i="19"/>
  <c r="F371" i="10"/>
  <c r="J372" i="10"/>
  <c r="G63" i="11"/>
  <c r="F367" i="10"/>
  <c r="H78" i="19"/>
  <c r="E78" i="19"/>
  <c r="K137" i="19"/>
  <c r="K458" i="19"/>
  <c r="E58" i="11"/>
  <c r="F11" i="13"/>
  <c r="E446" i="19"/>
  <c r="H446" i="19"/>
  <c r="H447" i="19" s="1"/>
  <c r="F362" i="10"/>
  <c r="G62" i="11"/>
  <c r="L406" i="10"/>
  <c r="E406" i="10"/>
  <c r="K418" i="10"/>
  <c r="F416" i="10"/>
  <c r="L402" i="10"/>
  <c r="H69" i="11" s="1"/>
  <c r="K192" i="19" s="1"/>
  <c r="L192" i="19" s="1"/>
  <c r="F400" i="10"/>
  <c r="F43" i="11"/>
  <c r="E43" i="11" s="1"/>
  <c r="F229" i="10"/>
  <c r="J35" i="10"/>
  <c r="L394" i="10"/>
  <c r="E394" i="10"/>
  <c r="F82" i="20"/>
  <c r="E82" i="20" s="1"/>
  <c r="F396" i="19"/>
  <c r="F349" i="10"/>
  <c r="G60" i="11"/>
  <c r="F262" i="19"/>
  <c r="H61" i="11"/>
  <c r="F357" i="10"/>
  <c r="H52" i="11"/>
  <c r="E52" i="11" s="1"/>
  <c r="F276" i="10"/>
  <c r="I531" i="19"/>
  <c r="J531" i="19" s="1"/>
  <c r="J533" i="19" s="1"/>
  <c r="G106" i="20" s="1"/>
  <c r="I257" i="19"/>
  <c r="J257" i="19" s="1"/>
  <c r="H36" i="19"/>
  <c r="F16" i="15"/>
  <c r="F4" i="13"/>
  <c r="E422" i="10"/>
  <c r="G434" i="10"/>
  <c r="H422" i="10"/>
  <c r="E412" i="10"/>
  <c r="L412" i="10"/>
  <c r="G65" i="11"/>
  <c r="F377" i="10"/>
  <c r="K357" i="19"/>
  <c r="K351" i="19"/>
  <c r="L351" i="19" s="1"/>
  <c r="K290" i="19"/>
  <c r="L290" i="19" s="1"/>
  <c r="K297" i="19"/>
  <c r="L297" i="19" s="1"/>
  <c r="L283" i="19"/>
  <c r="G42" i="11"/>
  <c r="E42" i="11" s="1"/>
  <c r="F225" i="10"/>
  <c r="I467" i="10"/>
  <c r="J467" i="10" s="1"/>
  <c r="J468" i="10" s="1"/>
  <c r="G80" i="11" s="1"/>
  <c r="J461" i="10"/>
  <c r="J462" i="10" s="1"/>
  <c r="G79" i="11" s="1"/>
  <c r="I544" i="19" s="1"/>
  <c r="J544" i="19" s="1"/>
  <c r="J546" i="19" s="1"/>
  <c r="H428" i="10"/>
  <c r="G440" i="10"/>
  <c r="E428" i="10"/>
  <c r="J29" i="10"/>
  <c r="J18" i="14"/>
  <c r="K70" i="15" s="1"/>
  <c r="L70" i="15" s="1"/>
  <c r="H18" i="14"/>
  <c r="G84" i="20"/>
  <c r="E84" i="20" s="1"/>
  <c r="F407" i="19"/>
  <c r="F64" i="15"/>
  <c r="F93" i="20"/>
  <c r="I69" i="19"/>
  <c r="I59" i="19"/>
  <c r="E6" i="13"/>
  <c r="L17" i="19"/>
  <c r="H7" i="20" s="1"/>
  <c r="H6" i="11"/>
  <c r="L431" i="10"/>
  <c r="K443" i="10"/>
  <c r="H51" i="11"/>
  <c r="E51" i="11" s="1"/>
  <c r="F269" i="10"/>
  <c r="J138" i="19"/>
  <c r="F3" i="13"/>
  <c r="F10" i="15"/>
  <c r="J126" i="19"/>
  <c r="G27" i="20" s="1"/>
  <c r="E47" i="11"/>
  <c r="E48" i="11"/>
  <c r="H459" i="10"/>
  <c r="F459" i="10" s="1"/>
  <c r="E459" i="10"/>
  <c r="G465" i="10"/>
  <c r="F383" i="10"/>
  <c r="L384" i="10"/>
  <c r="J130" i="19"/>
  <c r="F485" i="19"/>
  <c r="H488" i="19"/>
  <c r="L286" i="19"/>
  <c r="L293" i="19"/>
  <c r="F42" i="15"/>
  <c r="H46" i="15"/>
  <c r="J470" i="19"/>
  <c r="F22" i="15"/>
  <c r="F5" i="13"/>
  <c r="F389" i="10"/>
  <c r="H390" i="10"/>
  <c r="L425" i="10"/>
  <c r="K437" i="10"/>
  <c r="L437" i="10" s="1"/>
  <c r="F49" i="11"/>
  <c r="F255" i="10"/>
  <c r="G65" i="15"/>
  <c r="G173" i="19"/>
  <c r="J23" i="19"/>
  <c r="J459" i="19"/>
  <c r="F318" i="19"/>
  <c r="H69" i="15"/>
  <c r="L69" i="15"/>
  <c r="J69" i="15"/>
  <c r="H59" i="11"/>
  <c r="H60" i="15"/>
  <c r="F19" i="14"/>
  <c r="C76" i="15"/>
  <c r="H401" i="10"/>
  <c r="G395" i="10"/>
  <c r="G407" i="10"/>
  <c r="G413" i="10"/>
  <c r="E401" i="10"/>
  <c r="F31" i="20"/>
  <c r="F52" i="15"/>
  <c r="F10" i="13"/>
  <c r="F602" i="19" l="1"/>
  <c r="H722" i="19"/>
  <c r="J719" i="19"/>
  <c r="E719" i="19"/>
  <c r="J23" i="43"/>
  <c r="E23" i="43"/>
  <c r="L72" i="15"/>
  <c r="C10" i="7"/>
  <c r="J24" i="43"/>
  <c r="E24" i="43"/>
  <c r="D43" i="18"/>
  <c r="I43" i="18" s="1"/>
  <c r="K43" i="18" s="1"/>
  <c r="D44" i="18"/>
  <c r="I44" i="18" s="1"/>
  <c r="K44" i="18" s="1"/>
  <c r="D42" i="18"/>
  <c r="I42" i="18" s="1"/>
  <c r="K42" i="18" s="1"/>
  <c r="D46" i="18"/>
  <c r="I46" i="18" s="1"/>
  <c r="K46" i="18" s="1"/>
  <c r="D40" i="18"/>
  <c r="I40" i="18" s="1"/>
  <c r="K40" i="18" s="1"/>
  <c r="D41" i="18"/>
  <c r="I41" i="18" s="1"/>
  <c r="K41" i="18" s="1"/>
  <c r="I8" i="43"/>
  <c r="J7" i="43"/>
  <c r="I55" i="15"/>
  <c r="K15" i="14"/>
  <c r="D17" i="14"/>
  <c r="I16" i="14"/>
  <c r="J365" i="19"/>
  <c r="G74" i="20" s="1"/>
  <c r="L353" i="19"/>
  <c r="H72" i="20" s="1"/>
  <c r="L643" i="19"/>
  <c r="K635" i="19"/>
  <c r="L635" i="19" s="1"/>
  <c r="H640" i="19"/>
  <c r="F640" i="19" s="1"/>
  <c r="E640" i="19"/>
  <c r="E46" i="11"/>
  <c r="G105" i="19"/>
  <c r="E105" i="19" s="1"/>
  <c r="F122" i="20"/>
  <c r="E122" i="20" s="1"/>
  <c r="F609" i="19"/>
  <c r="K300" i="19"/>
  <c r="L300" i="19" s="1"/>
  <c r="L301" i="19" s="1"/>
  <c r="H63" i="20" s="1"/>
  <c r="G265" i="19"/>
  <c r="G279" i="19"/>
  <c r="L75" i="19"/>
  <c r="L76" i="19" s="1"/>
  <c r="H17" i="20" s="1"/>
  <c r="F72" i="19"/>
  <c r="J603" i="19"/>
  <c r="E603" i="19"/>
  <c r="E14" i="20"/>
  <c r="G100" i="19"/>
  <c r="H85" i="19"/>
  <c r="F85" i="19" s="1"/>
  <c r="E85" i="19"/>
  <c r="F99" i="19"/>
  <c r="J102" i="19"/>
  <c r="G22" i="20" s="1"/>
  <c r="G212" i="10"/>
  <c r="G206" i="10"/>
  <c r="H200" i="10"/>
  <c r="E200" i="10"/>
  <c r="D26" i="18"/>
  <c r="C11" i="7"/>
  <c r="L294" i="19"/>
  <c r="H62" i="20" s="1"/>
  <c r="E108" i="20"/>
  <c r="H14" i="13"/>
  <c r="E479" i="19"/>
  <c r="H479" i="19"/>
  <c r="F479" i="19" s="1"/>
  <c r="G28" i="10"/>
  <c r="K5" i="9"/>
  <c r="K6" i="9"/>
  <c r="G31" i="10"/>
  <c r="H34" i="10"/>
  <c r="E34" i="10"/>
  <c r="H125" i="19"/>
  <c r="F125" i="19" s="1"/>
  <c r="E125" i="19"/>
  <c r="G8" i="19"/>
  <c r="K12" i="18"/>
  <c r="G128" i="19"/>
  <c r="K30" i="18"/>
  <c r="G22" i="19"/>
  <c r="K19" i="18"/>
  <c r="H21" i="10"/>
  <c r="E21" i="10"/>
  <c r="F40" i="10"/>
  <c r="H41" i="10"/>
  <c r="H38" i="10"/>
  <c r="F37" i="10"/>
  <c r="I526" i="19"/>
  <c r="J526" i="19" s="1"/>
  <c r="J528" i="19" s="1"/>
  <c r="G105" i="20" s="1"/>
  <c r="J234" i="19"/>
  <c r="E4" i="13"/>
  <c r="G79" i="19"/>
  <c r="G73" i="19"/>
  <c r="I146" i="19"/>
  <c r="E60" i="11"/>
  <c r="E418" i="10"/>
  <c r="L418" i="10"/>
  <c r="G64" i="11"/>
  <c r="F372" i="10"/>
  <c r="F269" i="19"/>
  <c r="L287" i="19"/>
  <c r="H61" i="20" s="1"/>
  <c r="G109" i="20"/>
  <c r="I548" i="19"/>
  <c r="J548" i="19" s="1"/>
  <c r="J549" i="19" s="1"/>
  <c r="G110" i="20" s="1"/>
  <c r="K363" i="19"/>
  <c r="L363" i="19" s="1"/>
  <c r="L357" i="19"/>
  <c r="H37" i="19"/>
  <c r="F12" i="20" s="1"/>
  <c r="G10" i="11"/>
  <c r="L137" i="19"/>
  <c r="E137" i="19"/>
  <c r="I154" i="19"/>
  <c r="E63" i="11"/>
  <c r="K430" i="10"/>
  <c r="F428" i="10"/>
  <c r="L414" i="10"/>
  <c r="F412" i="10"/>
  <c r="H434" i="10"/>
  <c r="E434" i="10"/>
  <c r="F406" i="10"/>
  <c r="L408" i="10"/>
  <c r="H70" i="11" s="1"/>
  <c r="K200" i="19" s="1"/>
  <c r="L200" i="19" s="1"/>
  <c r="L458" i="19"/>
  <c r="K470" i="19"/>
  <c r="E458" i="19"/>
  <c r="G283" i="19"/>
  <c r="H276" i="19"/>
  <c r="E276" i="19"/>
  <c r="G25" i="19"/>
  <c r="G191" i="10"/>
  <c r="G178" i="10"/>
  <c r="E8" i="13"/>
  <c r="G185" i="10"/>
  <c r="I150" i="19"/>
  <c r="E62" i="11"/>
  <c r="E440" i="10"/>
  <c r="G446" i="10"/>
  <c r="H440" i="10"/>
  <c r="G452" i="10"/>
  <c r="E65" i="11"/>
  <c r="F422" i="10"/>
  <c r="K424" i="10"/>
  <c r="K36" i="19"/>
  <c r="E61" i="11"/>
  <c r="L396" i="10"/>
  <c r="H68" i="11" s="1"/>
  <c r="K184" i="19" s="1"/>
  <c r="L184" i="19" s="1"/>
  <c r="L186" i="19" s="1"/>
  <c r="F394" i="10"/>
  <c r="F446" i="19"/>
  <c r="F78" i="19"/>
  <c r="H413" i="10"/>
  <c r="G419" i="10"/>
  <c r="E413" i="10"/>
  <c r="G5" i="20"/>
  <c r="I5" i="43" s="1"/>
  <c r="G92" i="20"/>
  <c r="E3" i="13"/>
  <c r="G177" i="10"/>
  <c r="G184" i="10"/>
  <c r="G190" i="10"/>
  <c r="G29" i="20"/>
  <c r="F423" i="19"/>
  <c r="E87" i="20"/>
  <c r="J59" i="19"/>
  <c r="E59" i="19"/>
  <c r="H407" i="10"/>
  <c r="E407" i="10"/>
  <c r="H173" i="19"/>
  <c r="F67" i="11"/>
  <c r="F390" i="10"/>
  <c r="F9" i="13"/>
  <c r="E9" i="13" s="1"/>
  <c r="F46" i="15"/>
  <c r="G124" i="19"/>
  <c r="H66" i="11"/>
  <c r="F384" i="10"/>
  <c r="E110" i="19"/>
  <c r="H110" i="19"/>
  <c r="L443" i="10"/>
  <c r="K455" i="10"/>
  <c r="K449" i="10"/>
  <c r="L449" i="10" s="1"/>
  <c r="J69" i="19"/>
  <c r="E69" i="19"/>
  <c r="G8" i="11"/>
  <c r="I15" i="19" s="1"/>
  <c r="J15" i="19" s="1"/>
  <c r="J19" i="14"/>
  <c r="K75" i="15" s="1"/>
  <c r="L75" i="15" s="1"/>
  <c r="H19" i="14"/>
  <c r="G75" i="15" s="1"/>
  <c r="H65" i="15"/>
  <c r="H67" i="15" s="1"/>
  <c r="J471" i="19"/>
  <c r="G28" i="20"/>
  <c r="F20" i="14"/>
  <c r="C81" i="15"/>
  <c r="L76" i="15"/>
  <c r="J76" i="15"/>
  <c r="H76" i="15"/>
  <c r="K45" i="18"/>
  <c r="I34" i="19"/>
  <c r="H395" i="10"/>
  <c r="E395" i="10"/>
  <c r="H62" i="15"/>
  <c r="F69" i="15"/>
  <c r="G9" i="20"/>
  <c r="E49" i="11"/>
  <c r="G115" i="19"/>
  <c r="E10" i="13"/>
  <c r="G477" i="19"/>
  <c r="I30" i="19"/>
  <c r="F401" i="10"/>
  <c r="H402" i="10"/>
  <c r="E59" i="11"/>
  <c r="G86" i="19"/>
  <c r="G91" i="19"/>
  <c r="G96" i="19"/>
  <c r="E5" i="13"/>
  <c r="F488" i="19"/>
  <c r="F96" i="20"/>
  <c r="E465" i="10"/>
  <c r="H465" i="10"/>
  <c r="F465" i="10" s="1"/>
  <c r="G70" i="15"/>
  <c r="F23" i="43" l="1"/>
  <c r="E139" i="20"/>
  <c r="J722" i="19"/>
  <c r="F719" i="19"/>
  <c r="E96" i="20"/>
  <c r="F24" i="43"/>
  <c r="J8" i="43"/>
  <c r="I60" i="15"/>
  <c r="K16" i="14"/>
  <c r="D18" i="14"/>
  <c r="I17" i="14"/>
  <c r="J55" i="15"/>
  <c r="E55" i="15"/>
  <c r="L77" i="15"/>
  <c r="H15" i="13" s="1"/>
  <c r="K191" i="19" s="1"/>
  <c r="L191" i="19" s="1"/>
  <c r="L194" i="19" s="1"/>
  <c r="H75" i="15"/>
  <c r="L365" i="19"/>
  <c r="H74" i="20" s="1"/>
  <c r="L359" i="19"/>
  <c r="H73" i="20" s="1"/>
  <c r="H105" i="19"/>
  <c r="F105" i="19" s="1"/>
  <c r="G272" i="19"/>
  <c r="H265" i="19"/>
  <c r="K307" i="19"/>
  <c r="H279" i="19"/>
  <c r="F603" i="19"/>
  <c r="J604" i="19"/>
  <c r="H100" i="19"/>
  <c r="F100" i="19" s="1"/>
  <c r="E100" i="19"/>
  <c r="H201" i="10"/>
  <c r="F200" i="10"/>
  <c r="H206" i="10"/>
  <c r="E206" i="10"/>
  <c r="H212" i="10"/>
  <c r="E212" i="10"/>
  <c r="I26" i="18"/>
  <c r="D28" i="18"/>
  <c r="I28" i="18" s="1"/>
  <c r="H22" i="10"/>
  <c r="F21" i="10"/>
  <c r="H128" i="19"/>
  <c r="E128" i="19"/>
  <c r="H35" i="10"/>
  <c r="F34" i="10"/>
  <c r="H28" i="10"/>
  <c r="E28" i="10"/>
  <c r="F11" i="11"/>
  <c r="E11" i="11" s="1"/>
  <c r="F38" i="10"/>
  <c r="F41" i="10"/>
  <c r="F12" i="11"/>
  <c r="E12" i="11" s="1"/>
  <c r="E31" i="10"/>
  <c r="H31" i="10"/>
  <c r="H22" i="19"/>
  <c r="E22" i="19"/>
  <c r="H8" i="19"/>
  <c r="E8" i="19"/>
  <c r="I16" i="19"/>
  <c r="L36" i="19"/>
  <c r="E36" i="19"/>
  <c r="J162" i="19"/>
  <c r="J165" i="19" s="1"/>
  <c r="L470" i="19"/>
  <c r="E470" i="19"/>
  <c r="F418" i="10"/>
  <c r="L420" i="10"/>
  <c r="H72" i="11" s="1"/>
  <c r="K216" i="19" s="1"/>
  <c r="L216" i="19" s="1"/>
  <c r="E73" i="19"/>
  <c r="H73" i="19"/>
  <c r="F76" i="15"/>
  <c r="F447" i="19"/>
  <c r="F91" i="20"/>
  <c r="E446" i="10"/>
  <c r="H446" i="10"/>
  <c r="H185" i="10"/>
  <c r="F185" i="10" s="1"/>
  <c r="E185" i="10"/>
  <c r="H25" i="19"/>
  <c r="E25" i="19"/>
  <c r="F434" i="10"/>
  <c r="K436" i="10"/>
  <c r="J154" i="19"/>
  <c r="E154" i="19"/>
  <c r="E64" i="11"/>
  <c r="E146" i="19"/>
  <c r="J146" i="19"/>
  <c r="K188" i="19"/>
  <c r="L188" i="19" s="1"/>
  <c r="L189" i="19" s="1"/>
  <c r="H41" i="20" s="1"/>
  <c r="H40" i="20"/>
  <c r="F440" i="10"/>
  <c r="K442" i="10"/>
  <c r="E150" i="19"/>
  <c r="J150" i="19"/>
  <c r="H191" i="10"/>
  <c r="F191" i="10" s="1"/>
  <c r="E191" i="10"/>
  <c r="G297" i="19"/>
  <c r="G290" i="19"/>
  <c r="E283" i="19"/>
  <c r="H283" i="19"/>
  <c r="F283" i="19" s="1"/>
  <c r="E430" i="10"/>
  <c r="L430" i="10"/>
  <c r="L424" i="10"/>
  <c r="E424" i="10"/>
  <c r="E452" i="10"/>
  <c r="G458" i="10"/>
  <c r="H452" i="10"/>
  <c r="H178" i="10"/>
  <c r="F178" i="10" s="1"/>
  <c r="E178" i="10"/>
  <c r="F276" i="19"/>
  <c r="L459" i="19"/>
  <c r="F458" i="19"/>
  <c r="H71" i="11"/>
  <c r="K208" i="19"/>
  <c r="L208" i="19" s="1"/>
  <c r="L138" i="19"/>
  <c r="F137" i="19"/>
  <c r="H79" i="19"/>
  <c r="E79" i="19"/>
  <c r="J34" i="19"/>
  <c r="E34" i="19"/>
  <c r="C86" i="15"/>
  <c r="F21" i="14"/>
  <c r="G101" i="19"/>
  <c r="H96" i="19"/>
  <c r="E96" i="19"/>
  <c r="F69" i="11"/>
  <c r="F402" i="10"/>
  <c r="H115" i="19"/>
  <c r="E115" i="19"/>
  <c r="G93" i="20"/>
  <c r="H190" i="10"/>
  <c r="E190" i="10"/>
  <c r="F413" i="10"/>
  <c r="H414" i="10"/>
  <c r="F395" i="10"/>
  <c r="H396" i="10"/>
  <c r="J81" i="15"/>
  <c r="L81" i="15"/>
  <c r="H81" i="15"/>
  <c r="J60" i="19"/>
  <c r="F59" i="19"/>
  <c r="H184" i="10"/>
  <c r="E184" i="10"/>
  <c r="E91" i="19"/>
  <c r="H91" i="19"/>
  <c r="J70" i="19"/>
  <c r="F69" i="19"/>
  <c r="L455" i="10"/>
  <c r="K461" i="10"/>
  <c r="K173" i="19"/>
  <c r="E66" i="11"/>
  <c r="H174" i="19"/>
  <c r="E177" i="10"/>
  <c r="H177" i="10"/>
  <c r="H70" i="15"/>
  <c r="H72" i="15" s="1"/>
  <c r="E86" i="19"/>
  <c r="H86" i="19"/>
  <c r="H477" i="19"/>
  <c r="E477" i="19"/>
  <c r="F12" i="13"/>
  <c r="G286" i="19" s="1"/>
  <c r="G293" i="19" s="1"/>
  <c r="J20" i="14"/>
  <c r="K80" i="15" s="1"/>
  <c r="L80" i="15" s="1"/>
  <c r="H20" i="14"/>
  <c r="L145" i="19"/>
  <c r="E145" i="19"/>
  <c r="J30" i="19"/>
  <c r="E30" i="19"/>
  <c r="F110" i="19"/>
  <c r="H124" i="19"/>
  <c r="E124" i="19"/>
  <c r="G177" i="19"/>
  <c r="E67" i="11"/>
  <c r="H408" i="10"/>
  <c r="F407" i="10"/>
  <c r="G431" i="10"/>
  <c r="G425" i="10"/>
  <c r="E419" i="10"/>
  <c r="H419" i="10"/>
  <c r="F722" i="19" l="1"/>
  <c r="J57" i="15"/>
  <c r="F55" i="15"/>
  <c r="I65" i="15"/>
  <c r="K17" i="14"/>
  <c r="D19" i="14"/>
  <c r="I18" i="14"/>
  <c r="J60" i="15"/>
  <c r="E60" i="15"/>
  <c r="H77" i="15"/>
  <c r="L82" i="15"/>
  <c r="H280" i="19"/>
  <c r="F60" i="20" s="1"/>
  <c r="H42" i="20"/>
  <c r="H266" i="19"/>
  <c r="K321" i="19"/>
  <c r="L321" i="19" s="1"/>
  <c r="L322" i="19" s="1"/>
  <c r="H66" i="20" s="1"/>
  <c r="K314" i="19"/>
  <c r="H272" i="19"/>
  <c r="L307" i="19"/>
  <c r="L308" i="19" s="1"/>
  <c r="H64" i="20" s="1"/>
  <c r="G121" i="20"/>
  <c r="F604" i="19"/>
  <c r="H207" i="10"/>
  <c r="F206" i="10"/>
  <c r="F212" i="10"/>
  <c r="H213" i="10"/>
  <c r="F37" i="11"/>
  <c r="F201" i="10"/>
  <c r="I511" i="19"/>
  <c r="K28" i="18"/>
  <c r="I502" i="19"/>
  <c r="K26" i="18"/>
  <c r="K196" i="19"/>
  <c r="L196" i="19" s="1"/>
  <c r="L197" i="19" s="1"/>
  <c r="H43" i="20" s="1"/>
  <c r="E91" i="20"/>
  <c r="H9" i="19"/>
  <c r="F8" i="19"/>
  <c r="H29" i="10"/>
  <c r="F28" i="10"/>
  <c r="F6" i="11"/>
  <c r="E6" i="11" s="1"/>
  <c r="F22" i="10"/>
  <c r="H23" i="19"/>
  <c r="F22" i="19"/>
  <c r="H32" i="10"/>
  <c r="F31" i="10"/>
  <c r="F10" i="11"/>
  <c r="F35" i="10"/>
  <c r="H130" i="19"/>
  <c r="F128" i="19"/>
  <c r="E458" i="10"/>
  <c r="H458" i="10"/>
  <c r="G464" i="10"/>
  <c r="F150" i="19"/>
  <c r="J152" i="19"/>
  <c r="E436" i="10"/>
  <c r="L436" i="10"/>
  <c r="J16" i="19"/>
  <c r="K454" i="10"/>
  <c r="F452" i="10"/>
  <c r="F424" i="10"/>
  <c r="L426" i="10"/>
  <c r="H73" i="11" s="1"/>
  <c r="F25" i="19"/>
  <c r="H28" i="19"/>
  <c r="F79" i="19"/>
  <c r="F81" i="19" s="1"/>
  <c r="H81" i="19"/>
  <c r="H82" i="19" s="1"/>
  <c r="G645" i="19" s="1"/>
  <c r="G637" i="19" s="1"/>
  <c r="H29" i="20"/>
  <c r="E29" i="20" s="1"/>
  <c r="F138" i="19"/>
  <c r="H92" i="20"/>
  <c r="E92" i="20" s="1"/>
  <c r="F459" i="19"/>
  <c r="E442" i="10"/>
  <c r="L442" i="10"/>
  <c r="F146" i="19"/>
  <c r="J148" i="19"/>
  <c r="F446" i="10"/>
  <c r="K448" i="10"/>
  <c r="L471" i="19"/>
  <c r="F470" i="19"/>
  <c r="L37" i="19"/>
  <c r="H12" i="20" s="1"/>
  <c r="F36" i="19"/>
  <c r="F430" i="10"/>
  <c r="L432" i="10"/>
  <c r="H74" i="11" s="1"/>
  <c r="E290" i="19"/>
  <c r="H290" i="19"/>
  <c r="F290" i="19" s="1"/>
  <c r="J156" i="19"/>
  <c r="F154" i="19"/>
  <c r="H297" i="19"/>
  <c r="F297" i="19" s="1"/>
  <c r="E297" i="19"/>
  <c r="J158" i="19"/>
  <c r="I167" i="19"/>
  <c r="H75" i="19"/>
  <c r="H76" i="19" s="1"/>
  <c r="F73" i="19"/>
  <c r="F75" i="19" s="1"/>
  <c r="F477" i="19"/>
  <c r="H481" i="19"/>
  <c r="L173" i="19"/>
  <c r="E173" i="19"/>
  <c r="G16" i="20"/>
  <c r="F70" i="19"/>
  <c r="F91" i="19"/>
  <c r="H92" i="19"/>
  <c r="G15" i="20"/>
  <c r="E15" i="20" s="1"/>
  <c r="F60" i="19"/>
  <c r="F81" i="15"/>
  <c r="F115" i="19"/>
  <c r="E101" i="19"/>
  <c r="H101" i="19"/>
  <c r="H86" i="15"/>
  <c r="L86" i="15"/>
  <c r="J86" i="15"/>
  <c r="J32" i="19"/>
  <c r="F30" i="19"/>
  <c r="F86" i="19"/>
  <c r="H87" i="19"/>
  <c r="F177" i="10"/>
  <c r="H181" i="10"/>
  <c r="K467" i="10"/>
  <c r="L467" i="10" s="1"/>
  <c r="L461" i="10"/>
  <c r="F68" i="11"/>
  <c r="F396" i="10"/>
  <c r="G443" i="10"/>
  <c r="E431" i="10"/>
  <c r="H431" i="10"/>
  <c r="L148" i="19"/>
  <c r="K644" i="19" s="1"/>
  <c r="F145" i="19"/>
  <c r="F37" i="20"/>
  <c r="F184" i="10"/>
  <c r="H188" i="10"/>
  <c r="H195" i="10"/>
  <c r="F190" i="10"/>
  <c r="J37" i="19"/>
  <c r="F34" i="19"/>
  <c r="G437" i="10"/>
  <c r="H425" i="10"/>
  <c r="E425" i="10"/>
  <c r="F70" i="11"/>
  <c r="F408" i="10"/>
  <c r="H126" i="19"/>
  <c r="F124" i="19"/>
  <c r="F419" i="10"/>
  <c r="H420" i="10"/>
  <c r="F13" i="13"/>
  <c r="G300" i="19" s="1"/>
  <c r="G80" i="15"/>
  <c r="H177" i="19"/>
  <c r="F177" i="19" s="1"/>
  <c r="E177" i="19"/>
  <c r="F22" i="14"/>
  <c r="C91" i="15"/>
  <c r="H16" i="13"/>
  <c r="K199" i="19" s="1"/>
  <c r="L199" i="19" s="1"/>
  <c r="L202" i="19" s="1"/>
  <c r="F71" i="11"/>
  <c r="F414" i="10"/>
  <c r="E69" i="11"/>
  <c r="G192" i="19"/>
  <c r="F96" i="19"/>
  <c r="H97" i="19"/>
  <c r="J21" i="14"/>
  <c r="K85" i="15" s="1"/>
  <c r="L85" i="15" s="1"/>
  <c r="H21" i="14"/>
  <c r="E16" i="20" l="1"/>
  <c r="K6" i="43"/>
  <c r="L6" i="43" s="1"/>
  <c r="L5" i="43"/>
  <c r="J62" i="15"/>
  <c r="F60" i="15"/>
  <c r="I70" i="15"/>
  <c r="K18" i="14"/>
  <c r="D20" i="14"/>
  <c r="I19" i="14"/>
  <c r="J65" i="15"/>
  <c r="E65" i="15"/>
  <c r="G11" i="13"/>
  <c r="F57" i="15"/>
  <c r="L87" i="15"/>
  <c r="H17" i="13" s="1"/>
  <c r="L644" i="19"/>
  <c r="L649" i="19" s="1"/>
  <c r="H127" i="20" s="1"/>
  <c r="K636" i="19"/>
  <c r="L636" i="19" s="1"/>
  <c r="L641" i="19" s="1"/>
  <c r="H126" i="20" s="1"/>
  <c r="H637" i="19"/>
  <c r="F637" i="19" s="1"/>
  <c r="E637" i="19"/>
  <c r="G31" i="20"/>
  <c r="I644" i="19"/>
  <c r="H645" i="19"/>
  <c r="F645" i="19" s="1"/>
  <c r="E645" i="19"/>
  <c r="H273" i="19"/>
  <c r="F58" i="20"/>
  <c r="E121" i="20"/>
  <c r="F39" i="11"/>
  <c r="F213" i="10"/>
  <c r="E37" i="11"/>
  <c r="G158" i="19"/>
  <c r="F38" i="11"/>
  <c r="E38" i="11" s="1"/>
  <c r="F207" i="10"/>
  <c r="I508" i="19"/>
  <c r="J502" i="19"/>
  <c r="E502" i="19"/>
  <c r="J511" i="19"/>
  <c r="I517" i="19"/>
  <c r="E511" i="19"/>
  <c r="K229" i="19"/>
  <c r="L229" i="19" s="1"/>
  <c r="K234" i="19"/>
  <c r="G16" i="19"/>
  <c r="E10" i="11"/>
  <c r="F9" i="20"/>
  <c r="G9" i="43" s="1"/>
  <c r="F23" i="19"/>
  <c r="F8" i="11"/>
  <c r="F29" i="10"/>
  <c r="F28" i="20"/>
  <c r="F130" i="19"/>
  <c r="F9" i="11"/>
  <c r="F32" i="10"/>
  <c r="F5" i="20"/>
  <c r="G5" i="43" s="1"/>
  <c r="F9" i="19"/>
  <c r="E448" i="10"/>
  <c r="L448" i="10"/>
  <c r="F10" i="20"/>
  <c r="E10" i="20" s="1"/>
  <c r="F28" i="19"/>
  <c r="F436" i="10"/>
  <c r="L438" i="10"/>
  <c r="H75" i="11" s="1"/>
  <c r="K242" i="19" s="1"/>
  <c r="L242" i="19" s="1"/>
  <c r="E464" i="10"/>
  <c r="H464" i="10"/>
  <c r="J160" i="19"/>
  <c r="I643" i="19" s="1"/>
  <c r="F156" i="19"/>
  <c r="G33" i="20"/>
  <c r="E33" i="20" s="1"/>
  <c r="H93" i="20"/>
  <c r="E93" i="20" s="1"/>
  <c r="F471" i="19"/>
  <c r="J17" i="19"/>
  <c r="J167" i="19"/>
  <c r="F18" i="20"/>
  <c r="F82" i="19"/>
  <c r="K224" i="19"/>
  <c r="L224" i="19" s="1"/>
  <c r="K521" i="19"/>
  <c r="L521" i="19" s="1"/>
  <c r="L523" i="19" s="1"/>
  <c r="H104" i="20" s="1"/>
  <c r="G32" i="20"/>
  <c r="F152" i="19"/>
  <c r="F86" i="15"/>
  <c r="F76" i="19"/>
  <c r="F17" i="20"/>
  <c r="F442" i="10"/>
  <c r="L444" i="10"/>
  <c r="H76" i="11" s="1"/>
  <c r="K247" i="19" s="1"/>
  <c r="L247" i="19" s="1"/>
  <c r="G35" i="20"/>
  <c r="L454" i="10"/>
  <c r="E454" i="10"/>
  <c r="K460" i="10"/>
  <c r="F458" i="10"/>
  <c r="G208" i="19"/>
  <c r="E71" i="11"/>
  <c r="E192" i="19"/>
  <c r="H192" i="19"/>
  <c r="F192" i="19" s="1"/>
  <c r="L91" i="15"/>
  <c r="H91" i="15"/>
  <c r="J91" i="15"/>
  <c r="H437" i="10"/>
  <c r="E437" i="10"/>
  <c r="F195" i="10"/>
  <c r="F36" i="11"/>
  <c r="H293" i="19"/>
  <c r="F23" i="14"/>
  <c r="C96" i="15"/>
  <c r="F34" i="11"/>
  <c r="F181" i="10"/>
  <c r="F481" i="19"/>
  <c r="F95" i="20"/>
  <c r="E95" i="20" s="1"/>
  <c r="F72" i="11"/>
  <c r="F420" i="10"/>
  <c r="G200" i="19"/>
  <c r="E70" i="11"/>
  <c r="F35" i="11"/>
  <c r="E35" i="11" s="1"/>
  <c r="F188" i="10"/>
  <c r="H286" i="19"/>
  <c r="F431" i="10"/>
  <c r="H432" i="10"/>
  <c r="G184" i="19"/>
  <c r="E68" i="11"/>
  <c r="H80" i="15"/>
  <c r="H82" i="15" s="1"/>
  <c r="G12" i="20"/>
  <c r="F37" i="19"/>
  <c r="H31" i="20"/>
  <c r="F148" i="19"/>
  <c r="F87" i="19"/>
  <c r="F19" i="20"/>
  <c r="F92" i="19"/>
  <c r="F20" i="20"/>
  <c r="F14" i="13"/>
  <c r="G307" i="19" s="1"/>
  <c r="J22" i="14"/>
  <c r="K90" i="15" s="1"/>
  <c r="L90" i="15" s="1"/>
  <c r="H22" i="14"/>
  <c r="F21" i="20"/>
  <c r="F97" i="19"/>
  <c r="G85" i="15"/>
  <c r="K204" i="19"/>
  <c r="L204" i="19" s="1"/>
  <c r="L205" i="19" s="1"/>
  <c r="H45" i="20" s="1"/>
  <c r="H44" i="20"/>
  <c r="F126" i="19"/>
  <c r="F27" i="20"/>
  <c r="F425" i="10"/>
  <c r="H426" i="10"/>
  <c r="G449" i="10"/>
  <c r="G455" i="10"/>
  <c r="H443" i="10"/>
  <c r="E443" i="10"/>
  <c r="G11" i="20"/>
  <c r="I25" i="43" s="1"/>
  <c r="F32" i="19"/>
  <c r="F101" i="19"/>
  <c r="H102" i="19"/>
  <c r="L174" i="19"/>
  <c r="F173" i="19"/>
  <c r="E17" i="20" l="1"/>
  <c r="J17" i="43"/>
  <c r="I18" i="43"/>
  <c r="J18" i="43" s="1"/>
  <c r="L92" i="15"/>
  <c r="G10" i="43"/>
  <c r="H10" i="43" s="1"/>
  <c r="H9" i="43"/>
  <c r="I279" i="19"/>
  <c r="I265" i="19"/>
  <c r="E11" i="13"/>
  <c r="J67" i="15"/>
  <c r="F65" i="15"/>
  <c r="I75" i="15"/>
  <c r="K19" i="14"/>
  <c r="D21" i="14"/>
  <c r="I20" i="14"/>
  <c r="J70" i="15"/>
  <c r="E70" i="15"/>
  <c r="G12" i="13"/>
  <c r="F62" i="15"/>
  <c r="I10" i="43"/>
  <c r="J9" i="43"/>
  <c r="E9" i="43"/>
  <c r="E31" i="20"/>
  <c r="E12" i="20"/>
  <c r="J644" i="19"/>
  <c r="I636" i="19"/>
  <c r="J636" i="19" s="1"/>
  <c r="J643" i="19"/>
  <c r="I635" i="19"/>
  <c r="J635" i="19" s="1"/>
  <c r="E19" i="20"/>
  <c r="F59" i="20"/>
  <c r="G314" i="19"/>
  <c r="G321" i="19"/>
  <c r="E8" i="11"/>
  <c r="G15" i="19"/>
  <c r="H158" i="19"/>
  <c r="G167" i="19"/>
  <c r="E158" i="19"/>
  <c r="G162" i="19"/>
  <c r="E39" i="11"/>
  <c r="E27" i="20"/>
  <c r="E508" i="19"/>
  <c r="J508" i="19"/>
  <c r="J506" i="19"/>
  <c r="F502" i="19"/>
  <c r="J515" i="19"/>
  <c r="F511" i="19"/>
  <c r="J517" i="19"/>
  <c r="E517" i="19"/>
  <c r="E11" i="20"/>
  <c r="E21" i="20"/>
  <c r="G19" i="19"/>
  <c r="E9" i="11"/>
  <c r="H16" i="19"/>
  <c r="E16" i="19"/>
  <c r="E5" i="20"/>
  <c r="E28" i="20"/>
  <c r="E9" i="20"/>
  <c r="J169" i="19"/>
  <c r="G34" i="20"/>
  <c r="L456" i="10"/>
  <c r="H78" i="11" s="1"/>
  <c r="F454" i="10"/>
  <c r="E32" i="20"/>
  <c r="E18" i="20"/>
  <c r="G7" i="20"/>
  <c r="F91" i="15"/>
  <c r="L450" i="10"/>
  <c r="H77" i="11" s="1"/>
  <c r="K252" i="19" s="1"/>
  <c r="L252" i="19" s="1"/>
  <c r="F448" i="10"/>
  <c r="E460" i="10"/>
  <c r="L460" i="10"/>
  <c r="K466" i="10"/>
  <c r="F464" i="10"/>
  <c r="H18" i="13"/>
  <c r="K241" i="19" s="1"/>
  <c r="L241" i="19" s="1"/>
  <c r="L244" i="19" s="1"/>
  <c r="H54" i="20" s="1"/>
  <c r="F22" i="20"/>
  <c r="F102" i="19"/>
  <c r="C101" i="15"/>
  <c r="F24" i="14"/>
  <c r="H184" i="19"/>
  <c r="E184" i="19"/>
  <c r="H287" i="19"/>
  <c r="H200" i="19"/>
  <c r="F200" i="19" s="1"/>
  <c r="E200" i="19"/>
  <c r="J23" i="14"/>
  <c r="K95" i="15" s="1"/>
  <c r="L95" i="15" s="1"/>
  <c r="H23" i="14"/>
  <c r="H37" i="20"/>
  <c r="F174" i="19"/>
  <c r="F443" i="10"/>
  <c r="H444" i="10"/>
  <c r="F73" i="11"/>
  <c r="F426" i="10"/>
  <c r="H300" i="19"/>
  <c r="G90" i="15"/>
  <c r="F74" i="11"/>
  <c r="G234" i="19" s="1"/>
  <c r="F432" i="10"/>
  <c r="H294" i="19"/>
  <c r="H208" i="19"/>
  <c r="F208" i="19" s="1"/>
  <c r="E208" i="19"/>
  <c r="H85" i="15"/>
  <c r="H87" i="15" s="1"/>
  <c r="E20" i="20"/>
  <c r="E72" i="11"/>
  <c r="G216" i="19"/>
  <c r="G357" i="19"/>
  <c r="G351" i="19"/>
  <c r="E34" i="11"/>
  <c r="F437" i="10"/>
  <c r="H438" i="10"/>
  <c r="G461" i="10"/>
  <c r="H455" i="10"/>
  <c r="E455" i="10"/>
  <c r="H449" i="10"/>
  <c r="E449" i="10"/>
  <c r="F15" i="13"/>
  <c r="L96" i="15"/>
  <c r="H96" i="15"/>
  <c r="J96" i="15"/>
  <c r="E36" i="11"/>
  <c r="G140" i="19"/>
  <c r="H17" i="43" l="1"/>
  <c r="F17" i="43" s="1"/>
  <c r="G18" i="43"/>
  <c r="E17" i="43"/>
  <c r="F9" i="43"/>
  <c r="I286" i="19"/>
  <c r="E12" i="13"/>
  <c r="J72" i="15"/>
  <c r="F70" i="15"/>
  <c r="I80" i="15"/>
  <c r="K20" i="14"/>
  <c r="D22" i="14"/>
  <c r="I21" i="14"/>
  <c r="J75" i="15"/>
  <c r="E75" i="15"/>
  <c r="G13" i="13"/>
  <c r="F67" i="15"/>
  <c r="J265" i="19"/>
  <c r="I272" i="19"/>
  <c r="E265" i="19"/>
  <c r="J279" i="19"/>
  <c r="E279" i="19"/>
  <c r="J641" i="19"/>
  <c r="G126" i="20" s="1"/>
  <c r="J10" i="43"/>
  <c r="E10" i="43"/>
  <c r="L97" i="15"/>
  <c r="J649" i="19"/>
  <c r="G127" i="20" s="1"/>
  <c r="H15" i="19"/>
  <c r="F15" i="19" s="1"/>
  <c r="E15" i="19"/>
  <c r="H167" i="19"/>
  <c r="E167" i="19"/>
  <c r="H160" i="19"/>
  <c r="G643" i="19" s="1"/>
  <c r="G635" i="19" s="1"/>
  <c r="F158" i="19"/>
  <c r="H162" i="19"/>
  <c r="H165" i="19" s="1"/>
  <c r="E162" i="19"/>
  <c r="E37" i="20"/>
  <c r="F517" i="19"/>
  <c r="J518" i="19"/>
  <c r="F508" i="19"/>
  <c r="J509" i="19"/>
  <c r="G100" i="20"/>
  <c r="F506" i="19"/>
  <c r="G102" i="20"/>
  <c r="F515" i="19"/>
  <c r="F16" i="19"/>
  <c r="H19" i="19"/>
  <c r="E19" i="19"/>
  <c r="F460" i="10"/>
  <c r="L462" i="10"/>
  <c r="H79" i="11" s="1"/>
  <c r="K544" i="19" s="1"/>
  <c r="L544" i="19" s="1"/>
  <c r="L546" i="19" s="1"/>
  <c r="K207" i="19"/>
  <c r="L207" i="19" s="1"/>
  <c r="L210" i="19" s="1"/>
  <c r="H46" i="20" s="1"/>
  <c r="G36" i="20"/>
  <c r="L466" i="10"/>
  <c r="E466" i="10"/>
  <c r="K257" i="19"/>
  <c r="L257" i="19" s="1"/>
  <c r="K531" i="19"/>
  <c r="L531" i="19" s="1"/>
  <c r="L533" i="19" s="1"/>
  <c r="H106" i="20" s="1"/>
  <c r="F96" i="15"/>
  <c r="E216" i="19"/>
  <c r="H216" i="19"/>
  <c r="F216" i="19" s="1"/>
  <c r="H301" i="19"/>
  <c r="H19" i="13"/>
  <c r="K176" i="19" s="1"/>
  <c r="L176" i="19" s="1"/>
  <c r="L179" i="19" s="1"/>
  <c r="J24" i="14"/>
  <c r="K100" i="15" s="1"/>
  <c r="L100" i="15" s="1"/>
  <c r="H24" i="14"/>
  <c r="F455" i="10"/>
  <c r="H456" i="10"/>
  <c r="C106" i="15"/>
  <c r="F25" i="14"/>
  <c r="J101" i="15"/>
  <c r="L101" i="15"/>
  <c r="H101" i="15"/>
  <c r="G191" i="19"/>
  <c r="E351" i="19"/>
  <c r="H351" i="19"/>
  <c r="H353" i="19" s="1"/>
  <c r="F62" i="20"/>
  <c r="F16" i="13"/>
  <c r="F76" i="11"/>
  <c r="F444" i="10"/>
  <c r="G95" i="15"/>
  <c r="H186" i="19"/>
  <c r="F184" i="19"/>
  <c r="H140" i="19"/>
  <c r="E140" i="19"/>
  <c r="F449" i="10"/>
  <c r="H450" i="10"/>
  <c r="H461" i="10"/>
  <c r="E461" i="10"/>
  <c r="G467" i="10"/>
  <c r="F75" i="11"/>
  <c r="F438" i="10"/>
  <c r="H357" i="19"/>
  <c r="H359" i="19" s="1"/>
  <c r="G363" i="19"/>
  <c r="E357" i="19"/>
  <c r="G229" i="19"/>
  <c r="E74" i="11"/>
  <c r="H90" i="15"/>
  <c r="H92" i="15" s="1"/>
  <c r="E73" i="11"/>
  <c r="G224" i="19"/>
  <c r="G521" i="19"/>
  <c r="F61" i="20"/>
  <c r="H307" i="19"/>
  <c r="E22" i="20"/>
  <c r="H18" i="43" l="1"/>
  <c r="F18" i="43" s="1"/>
  <c r="E18" i="43"/>
  <c r="F10" i="43"/>
  <c r="I300" i="19"/>
  <c r="E13" i="13"/>
  <c r="J77" i="15"/>
  <c r="F75" i="15"/>
  <c r="I85" i="15"/>
  <c r="K21" i="14"/>
  <c r="D23" i="14"/>
  <c r="I22" i="14"/>
  <c r="J280" i="19"/>
  <c r="F279" i="19"/>
  <c r="J80" i="15"/>
  <c r="E80" i="15"/>
  <c r="J272" i="19"/>
  <c r="E272" i="19"/>
  <c r="G14" i="13"/>
  <c r="F72" i="15"/>
  <c r="J266" i="19"/>
  <c r="F265" i="19"/>
  <c r="I293" i="19"/>
  <c r="J286" i="19"/>
  <c r="E286" i="19"/>
  <c r="L102" i="15"/>
  <c r="H20" i="13" s="1"/>
  <c r="K215" i="19" s="1"/>
  <c r="L215" i="19" s="1"/>
  <c r="L218" i="19" s="1"/>
  <c r="H635" i="19"/>
  <c r="F635" i="19" s="1"/>
  <c r="E635" i="19"/>
  <c r="H636" i="19"/>
  <c r="E636" i="19"/>
  <c r="E643" i="19"/>
  <c r="H643" i="19"/>
  <c r="F643" i="19" s="1"/>
  <c r="H17" i="19"/>
  <c r="F7" i="20" s="1"/>
  <c r="F34" i="20"/>
  <c r="F160" i="19"/>
  <c r="F162" i="19"/>
  <c r="H169" i="19"/>
  <c r="F167" i="19"/>
  <c r="G101" i="20"/>
  <c r="F509" i="19"/>
  <c r="E102" i="20"/>
  <c r="G103" i="20"/>
  <c r="F518" i="19"/>
  <c r="E100" i="20"/>
  <c r="K212" i="19"/>
  <c r="L212" i="19" s="1"/>
  <c r="L213" i="19" s="1"/>
  <c r="H47" i="20" s="1"/>
  <c r="H20" i="19"/>
  <c r="F19" i="19"/>
  <c r="F466" i="10"/>
  <c r="L468" i="10"/>
  <c r="H80" i="11" s="1"/>
  <c r="H109" i="20"/>
  <c r="K548" i="19"/>
  <c r="L548" i="19" s="1"/>
  <c r="L549" i="19" s="1"/>
  <c r="H110" i="20" s="1"/>
  <c r="F101" i="15"/>
  <c r="E224" i="19"/>
  <c r="H224" i="19"/>
  <c r="F224" i="19" s="1"/>
  <c r="F357" i="19"/>
  <c r="H467" i="10"/>
  <c r="E467" i="10"/>
  <c r="H143" i="19"/>
  <c r="F140" i="19"/>
  <c r="H95" i="15"/>
  <c r="H97" i="15" s="1"/>
  <c r="G199" i="19"/>
  <c r="J25" i="14"/>
  <c r="K105" i="15" s="1"/>
  <c r="L105" i="15" s="1"/>
  <c r="H25" i="14"/>
  <c r="H38" i="20"/>
  <c r="K181" i="19"/>
  <c r="L181" i="19" s="1"/>
  <c r="L182" i="19" s="1"/>
  <c r="H39" i="20" s="1"/>
  <c r="H308" i="19"/>
  <c r="F64" i="20" s="1"/>
  <c r="F351" i="19"/>
  <c r="J106" i="15"/>
  <c r="L106" i="15"/>
  <c r="H106" i="15"/>
  <c r="C111" i="15"/>
  <c r="F26" i="14"/>
  <c r="F17" i="13"/>
  <c r="G242" i="19"/>
  <c r="E75" i="11"/>
  <c r="F461" i="10"/>
  <c r="H462" i="10"/>
  <c r="F186" i="19"/>
  <c r="F40" i="20"/>
  <c r="E40" i="20" s="1"/>
  <c r="G188" i="19"/>
  <c r="G247" i="19"/>
  <c r="E76" i="11"/>
  <c r="G100" i="15"/>
  <c r="E229" i="19"/>
  <c r="H229" i="19"/>
  <c r="F229" i="19" s="1"/>
  <c r="F450" i="10"/>
  <c r="F77" i="11"/>
  <c r="H191" i="19"/>
  <c r="H321" i="19"/>
  <c r="H521" i="19"/>
  <c r="E521" i="19"/>
  <c r="H363" i="19"/>
  <c r="H365" i="19" s="1"/>
  <c r="E363" i="19"/>
  <c r="F456" i="10"/>
  <c r="F78" i="11"/>
  <c r="F63" i="20"/>
  <c r="K11" i="43" l="1"/>
  <c r="H48" i="20"/>
  <c r="K220" i="19"/>
  <c r="L220" i="19" s="1"/>
  <c r="L221" i="19" s="1"/>
  <c r="H49" i="20" s="1"/>
  <c r="J82" i="15"/>
  <c r="F80" i="15"/>
  <c r="J287" i="19"/>
  <c r="F286" i="19"/>
  <c r="G60" i="20"/>
  <c r="E60" i="20" s="1"/>
  <c r="F280" i="19"/>
  <c r="J293" i="19"/>
  <c r="E293" i="19"/>
  <c r="I90" i="15"/>
  <c r="K22" i="14"/>
  <c r="D24" i="14"/>
  <c r="I23" i="14"/>
  <c r="G58" i="20"/>
  <c r="E58" i="20" s="1"/>
  <c r="F266" i="19"/>
  <c r="J85" i="15"/>
  <c r="E85" i="15"/>
  <c r="I307" i="19"/>
  <c r="E14" i="13"/>
  <c r="G15" i="13"/>
  <c r="F77" i="15"/>
  <c r="J273" i="19"/>
  <c r="F272" i="19"/>
  <c r="J300" i="19"/>
  <c r="E300" i="19"/>
  <c r="E101" i="20"/>
  <c r="L107" i="15"/>
  <c r="F636" i="19"/>
  <c r="H641" i="19"/>
  <c r="F17" i="19"/>
  <c r="F36" i="20"/>
  <c r="F169" i="19"/>
  <c r="F35" i="20"/>
  <c r="F165" i="19"/>
  <c r="E34" i="20"/>
  <c r="D13" i="52"/>
  <c r="E103" i="20"/>
  <c r="E7" i="20"/>
  <c r="F8" i="20"/>
  <c r="F20" i="19"/>
  <c r="K526" i="19"/>
  <c r="L526" i="19" s="1"/>
  <c r="L528" i="19" s="1"/>
  <c r="H105" i="20" s="1"/>
  <c r="L234" i="19"/>
  <c r="H100" i="15"/>
  <c r="H102" i="15" s="1"/>
  <c r="H242" i="19"/>
  <c r="F242" i="19" s="1"/>
  <c r="E242" i="19"/>
  <c r="H199" i="19"/>
  <c r="H194" i="19"/>
  <c r="E247" i="19"/>
  <c r="H247" i="19"/>
  <c r="F247" i="19" s="1"/>
  <c r="F79" i="11"/>
  <c r="F462" i="10"/>
  <c r="J26" i="14"/>
  <c r="K110" i="15" s="1"/>
  <c r="L110" i="15" s="1"/>
  <c r="H26" i="14"/>
  <c r="G105" i="15"/>
  <c r="F30" i="20"/>
  <c r="E30" i="20" s="1"/>
  <c r="F143" i="19"/>
  <c r="F467" i="10"/>
  <c r="H468" i="10"/>
  <c r="F363" i="19"/>
  <c r="H188" i="19"/>
  <c r="E188" i="19"/>
  <c r="J111" i="15"/>
  <c r="L111" i="15"/>
  <c r="H111" i="15"/>
  <c r="H21" i="13"/>
  <c r="H523" i="19"/>
  <c r="F521" i="19"/>
  <c r="G531" i="19"/>
  <c r="G257" i="19"/>
  <c r="E78" i="11"/>
  <c r="F18" i="13"/>
  <c r="H322" i="19"/>
  <c r="G252" i="19"/>
  <c r="E77" i="11"/>
  <c r="F27" i="14"/>
  <c r="C115" i="15"/>
  <c r="F106" i="15"/>
  <c r="F72" i="20"/>
  <c r="F353" i="19"/>
  <c r="F359" i="19"/>
  <c r="F73" i="20"/>
  <c r="E8" i="20" l="1"/>
  <c r="G7" i="43"/>
  <c r="D25" i="14"/>
  <c r="I24" i="14"/>
  <c r="G59" i="20"/>
  <c r="E59" i="20" s="1"/>
  <c r="F273" i="19"/>
  <c r="J90" i="15"/>
  <c r="E90" i="15"/>
  <c r="I191" i="19"/>
  <c r="E15" i="13"/>
  <c r="J294" i="19"/>
  <c r="F293" i="19"/>
  <c r="J307" i="19"/>
  <c r="I321" i="19"/>
  <c r="I314" i="19"/>
  <c r="J314" i="19" s="1"/>
  <c r="J315" i="19" s="1"/>
  <c r="G65" i="20" s="1"/>
  <c r="E307" i="19"/>
  <c r="J87" i="15"/>
  <c r="F85" i="15"/>
  <c r="G61" i="20"/>
  <c r="E61" i="20" s="1"/>
  <c r="F287" i="19"/>
  <c r="J301" i="19"/>
  <c r="F300" i="19"/>
  <c r="I95" i="15"/>
  <c r="K23" i="14"/>
  <c r="G16" i="13"/>
  <c r="F82" i="15"/>
  <c r="L112" i="15"/>
  <c r="H22" i="13" s="1"/>
  <c r="E36" i="20"/>
  <c r="F641" i="19"/>
  <c r="F126" i="20"/>
  <c r="H644" i="19"/>
  <c r="E644" i="19"/>
  <c r="E35" i="20"/>
  <c r="E72" i="20"/>
  <c r="E73" i="20"/>
  <c r="L115" i="15"/>
  <c r="J115" i="15"/>
  <c r="H115" i="15"/>
  <c r="F66" i="20"/>
  <c r="F28" i="14"/>
  <c r="C120" i="15"/>
  <c r="F80" i="11"/>
  <c r="F468" i="10"/>
  <c r="H105" i="15"/>
  <c r="H107" i="15" s="1"/>
  <c r="F74" i="20"/>
  <c r="F365" i="19"/>
  <c r="J27" i="14"/>
  <c r="K114" i="15" s="1"/>
  <c r="L114" i="15" s="1"/>
  <c r="H27" i="14"/>
  <c r="H257" i="19"/>
  <c r="F257" i="19" s="1"/>
  <c r="E257" i="19"/>
  <c r="F104" i="20"/>
  <c r="E104" i="20" s="1"/>
  <c r="F523" i="19"/>
  <c r="L314" i="19"/>
  <c r="L315" i="19" s="1"/>
  <c r="H65" i="20" s="1"/>
  <c r="K223" i="19"/>
  <c r="L223" i="19" s="1"/>
  <c r="L226" i="19" s="1"/>
  <c r="H50" i="20" s="1"/>
  <c r="G110" i="15"/>
  <c r="E79" i="11"/>
  <c r="G544" i="19"/>
  <c r="E531" i="19"/>
  <c r="H531" i="19"/>
  <c r="F19" i="13"/>
  <c r="H252" i="19"/>
  <c r="F252" i="19" s="1"/>
  <c r="E252" i="19"/>
  <c r="G207" i="19"/>
  <c r="G241" i="19"/>
  <c r="F111" i="15"/>
  <c r="F188" i="19"/>
  <c r="H189" i="19"/>
  <c r="G196" i="19"/>
  <c r="F42" i="20"/>
  <c r="H202" i="19"/>
  <c r="K26" i="43" l="1"/>
  <c r="L26" i="43" s="1"/>
  <c r="L31" i="43" s="1"/>
  <c r="L25" i="43"/>
  <c r="L29" i="43" s="1"/>
  <c r="G8" i="43"/>
  <c r="H7" i="43"/>
  <c r="F7" i="43" s="1"/>
  <c r="E7" i="43"/>
  <c r="H5" i="43"/>
  <c r="G6" i="43"/>
  <c r="J321" i="19"/>
  <c r="E321" i="19"/>
  <c r="J308" i="19"/>
  <c r="G64" i="20" s="1"/>
  <c r="F307" i="19"/>
  <c r="G63" i="20"/>
  <c r="F301" i="19"/>
  <c r="G62" i="20"/>
  <c r="E62" i="20" s="1"/>
  <c r="F294" i="19"/>
  <c r="J191" i="19"/>
  <c r="E191" i="19"/>
  <c r="J92" i="15"/>
  <c r="F90" i="15"/>
  <c r="J95" i="15"/>
  <c r="E95" i="15"/>
  <c r="G17" i="13"/>
  <c r="E17" i="13" s="1"/>
  <c r="F87" i="15"/>
  <c r="I100" i="15"/>
  <c r="K24" i="14"/>
  <c r="I199" i="19"/>
  <c r="E16" i="13"/>
  <c r="D26" i="14"/>
  <c r="I25" i="14"/>
  <c r="E126" i="20"/>
  <c r="F644" i="19"/>
  <c r="H649" i="19"/>
  <c r="K228" i="19"/>
  <c r="L228" i="19" s="1"/>
  <c r="L231" i="19" s="1"/>
  <c r="H51" i="20" s="1"/>
  <c r="K233" i="19"/>
  <c r="E74" i="20"/>
  <c r="G204" i="19"/>
  <c r="F44" i="20"/>
  <c r="H196" i="19"/>
  <c r="H241" i="19"/>
  <c r="G176" i="19"/>
  <c r="H544" i="19"/>
  <c r="E544" i="19"/>
  <c r="E80" i="11"/>
  <c r="G526" i="19"/>
  <c r="L120" i="15"/>
  <c r="J120" i="15"/>
  <c r="H120" i="15"/>
  <c r="F115" i="15"/>
  <c r="F29" i="14"/>
  <c r="F531" i="19"/>
  <c r="H533" i="19"/>
  <c r="G114" i="15"/>
  <c r="J28" i="14"/>
  <c r="K119" i="15" s="1"/>
  <c r="L119" i="15" s="1"/>
  <c r="H28" i="14"/>
  <c r="F41" i="20"/>
  <c r="E41" i="20" s="1"/>
  <c r="F189" i="19"/>
  <c r="H207" i="19"/>
  <c r="F20" i="13"/>
  <c r="H110" i="15"/>
  <c r="H112" i="15" s="1"/>
  <c r="L116" i="15"/>
  <c r="H23" i="13" s="1"/>
  <c r="K246" i="19" s="1"/>
  <c r="L121" i="15" l="1"/>
  <c r="H8" i="43"/>
  <c r="F8" i="43" s="1"/>
  <c r="E8" i="43"/>
  <c r="E63" i="20"/>
  <c r="H6" i="43"/>
  <c r="J194" i="19"/>
  <c r="F191" i="19"/>
  <c r="I105" i="15"/>
  <c r="K25" i="14"/>
  <c r="G18" i="13"/>
  <c r="F92" i="15"/>
  <c r="D27" i="14"/>
  <c r="I26" i="14"/>
  <c r="J100" i="15"/>
  <c r="E100" i="15"/>
  <c r="E64" i="20"/>
  <c r="F308" i="19"/>
  <c r="J199" i="19"/>
  <c r="E199" i="19"/>
  <c r="J97" i="15"/>
  <c r="F95" i="15"/>
  <c r="J322" i="19"/>
  <c r="F321" i="19"/>
  <c r="F649" i="19"/>
  <c r="F127" i="20"/>
  <c r="L233" i="19"/>
  <c r="L236" i="19" s="1"/>
  <c r="K251" i="19"/>
  <c r="L251" i="19" s="1"/>
  <c r="L254" i="19" s="1"/>
  <c r="H56" i="20" s="1"/>
  <c r="L246" i="19"/>
  <c r="L249" i="19" s="1"/>
  <c r="H55" i="20" s="1"/>
  <c r="H210" i="19"/>
  <c r="F21" i="13"/>
  <c r="F30" i="14"/>
  <c r="H234" i="19"/>
  <c r="F234" i="19" s="1"/>
  <c r="E234" i="19"/>
  <c r="H176" i="19"/>
  <c r="H197" i="19"/>
  <c r="H114" i="15"/>
  <c r="H24" i="13"/>
  <c r="K256" i="19" s="1"/>
  <c r="L256" i="19" s="1"/>
  <c r="L259" i="19" s="1"/>
  <c r="H57" i="20" s="1"/>
  <c r="H526" i="19"/>
  <c r="E526" i="19"/>
  <c r="H546" i="19"/>
  <c r="F544" i="19"/>
  <c r="H244" i="19"/>
  <c r="G119" i="15"/>
  <c r="G215" i="19"/>
  <c r="J29" i="14"/>
  <c r="K123" i="15" s="1"/>
  <c r="L123" i="15" s="1"/>
  <c r="L124" i="15" s="1"/>
  <c r="H29" i="14"/>
  <c r="F533" i="19"/>
  <c r="F106" i="20"/>
  <c r="E106" i="20" s="1"/>
  <c r="F120" i="15"/>
  <c r="H204" i="19"/>
  <c r="I110" i="15" l="1"/>
  <c r="K26" i="14"/>
  <c r="D28" i="14"/>
  <c r="I27" i="14"/>
  <c r="G66" i="20"/>
  <c r="F322" i="19"/>
  <c r="I241" i="19"/>
  <c r="I207" i="19"/>
  <c r="E18" i="13"/>
  <c r="G19" i="13"/>
  <c r="F97" i="15"/>
  <c r="J105" i="15"/>
  <c r="E105" i="15"/>
  <c r="J102" i="15"/>
  <c r="F100" i="15"/>
  <c r="J202" i="19"/>
  <c r="F199" i="19"/>
  <c r="I196" i="19"/>
  <c r="G42" i="20"/>
  <c r="E42" i="20" s="1"/>
  <c r="F194" i="19"/>
  <c r="E127" i="20"/>
  <c r="H52" i="20"/>
  <c r="K238" i="19"/>
  <c r="L238" i="19" s="1"/>
  <c r="L239" i="19" s="1"/>
  <c r="H53" i="20" s="1"/>
  <c r="F22" i="13"/>
  <c r="G233" i="19" s="1"/>
  <c r="H179" i="19"/>
  <c r="G223" i="19"/>
  <c r="F31" i="14"/>
  <c r="H116" i="15"/>
  <c r="H30" i="14"/>
  <c r="J30" i="14"/>
  <c r="K126" i="15" s="1"/>
  <c r="L126" i="15" s="1"/>
  <c r="L127" i="15" s="1"/>
  <c r="H26" i="13" s="1"/>
  <c r="F109" i="20"/>
  <c r="F546" i="19"/>
  <c r="G548" i="19"/>
  <c r="H205" i="19"/>
  <c r="H215" i="19"/>
  <c r="F54" i="20"/>
  <c r="G123" i="15"/>
  <c r="H119" i="15"/>
  <c r="H121" i="15" s="1"/>
  <c r="H528" i="19"/>
  <c r="F526" i="19"/>
  <c r="F43" i="20"/>
  <c r="G212" i="19"/>
  <c r="F46" i="20"/>
  <c r="E109" i="20" l="1"/>
  <c r="E66" i="20"/>
  <c r="J107" i="15"/>
  <c r="F105" i="15"/>
  <c r="I176" i="19"/>
  <c r="E19" i="13"/>
  <c r="J207" i="19"/>
  <c r="E207" i="19"/>
  <c r="J196" i="19"/>
  <c r="E196" i="19"/>
  <c r="G44" i="20"/>
  <c r="I204" i="19"/>
  <c r="F202" i="19"/>
  <c r="I114" i="15"/>
  <c r="K27" i="14"/>
  <c r="D29" i="14"/>
  <c r="I28" i="14"/>
  <c r="G20" i="13"/>
  <c r="F102" i="15"/>
  <c r="J241" i="19"/>
  <c r="E241" i="19"/>
  <c r="J110" i="15"/>
  <c r="E110" i="15"/>
  <c r="H212" i="19"/>
  <c r="H218" i="19"/>
  <c r="G220" i="19" s="1"/>
  <c r="E548" i="19"/>
  <c r="H548" i="19"/>
  <c r="G126" i="15"/>
  <c r="H31" i="14"/>
  <c r="J31" i="14"/>
  <c r="K129" i="15" s="1"/>
  <c r="L129" i="15" s="1"/>
  <c r="L130" i="15" s="1"/>
  <c r="H27" i="13" s="1"/>
  <c r="K106" i="19" s="1"/>
  <c r="F38" i="20"/>
  <c r="G181" i="19"/>
  <c r="H123" i="15"/>
  <c r="F23" i="13"/>
  <c r="F528" i="19"/>
  <c r="F105" i="20"/>
  <c r="E105" i="20" s="1"/>
  <c r="F45" i="20"/>
  <c r="H223" i="19"/>
  <c r="F32" i="14"/>
  <c r="H314" i="19"/>
  <c r="E314" i="19"/>
  <c r="G228" i="19"/>
  <c r="E44" i="20" l="1"/>
  <c r="H220" i="19"/>
  <c r="J5" i="43"/>
  <c r="I6" i="43"/>
  <c r="E5" i="43"/>
  <c r="J112" i="15"/>
  <c r="F110" i="15"/>
  <c r="J244" i="19"/>
  <c r="F241" i="19"/>
  <c r="J204" i="19"/>
  <c r="E204" i="19"/>
  <c r="J210" i="19"/>
  <c r="F207" i="19"/>
  <c r="J197" i="19"/>
  <c r="F196" i="19"/>
  <c r="I119" i="15"/>
  <c r="K28" i="14"/>
  <c r="J176" i="19"/>
  <c r="E176" i="19"/>
  <c r="J114" i="15"/>
  <c r="E114" i="15"/>
  <c r="I215" i="19"/>
  <c r="E20" i="13"/>
  <c r="D30" i="14"/>
  <c r="I29" i="14"/>
  <c r="G21" i="13"/>
  <c r="F107" i="15"/>
  <c r="J32" i="14"/>
  <c r="K132" i="15" s="1"/>
  <c r="L132" i="15" s="1"/>
  <c r="L133" i="15" s="1"/>
  <c r="H28" i="13" s="1"/>
  <c r="H32" i="14"/>
  <c r="H549" i="19"/>
  <c r="F548" i="19"/>
  <c r="F314" i="19"/>
  <c r="H315" i="19"/>
  <c r="H124" i="15"/>
  <c r="H126" i="15"/>
  <c r="H213" i="19"/>
  <c r="F24" i="13"/>
  <c r="H228" i="19"/>
  <c r="F33" i="14"/>
  <c r="H226" i="19"/>
  <c r="G246" i="19"/>
  <c r="H181" i="19"/>
  <c r="G129" i="15"/>
  <c r="F48" i="20"/>
  <c r="L106" i="19" l="1"/>
  <c r="L107" i="19" s="1"/>
  <c r="H23" i="20" s="1"/>
  <c r="K676" i="19"/>
  <c r="L676" i="19" s="1"/>
  <c r="L677" i="19" s="1"/>
  <c r="H132" i="20" s="1"/>
  <c r="H221" i="19"/>
  <c r="F49" i="20" s="1"/>
  <c r="J6" i="43"/>
  <c r="E6" i="43"/>
  <c r="F5" i="43"/>
  <c r="I223" i="19"/>
  <c r="E21" i="13"/>
  <c r="J205" i="19"/>
  <c r="F204" i="19"/>
  <c r="D31" i="14"/>
  <c r="I30" i="14"/>
  <c r="J116" i="15"/>
  <c r="F114" i="15"/>
  <c r="G54" i="20"/>
  <c r="E54" i="20" s="1"/>
  <c r="F244" i="19"/>
  <c r="I123" i="15"/>
  <c r="K29" i="14"/>
  <c r="J119" i="15"/>
  <c r="E119" i="15"/>
  <c r="G43" i="20"/>
  <c r="E43" i="20" s="1"/>
  <c r="F197" i="19"/>
  <c r="I212" i="19"/>
  <c r="G46" i="20"/>
  <c r="F210" i="19"/>
  <c r="J215" i="19"/>
  <c r="E215" i="19"/>
  <c r="J179" i="19"/>
  <c r="F176" i="19"/>
  <c r="G22" i="13"/>
  <c r="F112" i="15"/>
  <c r="F34" i="14"/>
  <c r="H182" i="19"/>
  <c r="F50" i="20"/>
  <c r="G256" i="19"/>
  <c r="H127" i="15"/>
  <c r="F110" i="20"/>
  <c r="F549" i="19"/>
  <c r="H129" i="15"/>
  <c r="J33" i="14"/>
  <c r="K135" i="15" s="1"/>
  <c r="L135" i="15" s="1"/>
  <c r="L136" i="15" s="1"/>
  <c r="H29" i="13" s="1"/>
  <c r="K111" i="19" s="1"/>
  <c r="H33" i="14"/>
  <c r="H233" i="19"/>
  <c r="F25" i="13"/>
  <c r="F315" i="19"/>
  <c r="F65" i="20"/>
  <c r="E65" i="20" s="1"/>
  <c r="G132" i="15"/>
  <c r="H231" i="19"/>
  <c r="F47" i="20"/>
  <c r="H246" i="19"/>
  <c r="G251" i="19"/>
  <c r="K12" i="43" l="1"/>
  <c r="L12" i="43" s="1"/>
  <c r="L11" i="43"/>
  <c r="H25" i="43"/>
  <c r="H29" i="43" s="1"/>
  <c r="G26" i="43"/>
  <c r="H26" i="43" s="1"/>
  <c r="H31" i="43" s="1"/>
  <c r="E46" i="20"/>
  <c r="F6" i="43"/>
  <c r="G38" i="20"/>
  <c r="I181" i="19"/>
  <c r="F179" i="19"/>
  <c r="G23" i="13"/>
  <c r="F116" i="15"/>
  <c r="I126" i="15"/>
  <c r="K30" i="14"/>
  <c r="J218" i="19"/>
  <c r="I220" i="19" s="1"/>
  <c r="F215" i="19"/>
  <c r="G45" i="20"/>
  <c r="E45" i="20" s="1"/>
  <c r="F205" i="19"/>
  <c r="J123" i="15"/>
  <c r="E123" i="15"/>
  <c r="J212" i="19"/>
  <c r="E212" i="19"/>
  <c r="D32" i="14"/>
  <c r="I31" i="14"/>
  <c r="I233" i="19"/>
  <c r="I228" i="19"/>
  <c r="E22" i="13"/>
  <c r="J121" i="15"/>
  <c r="F119" i="15"/>
  <c r="J223" i="19"/>
  <c r="E223" i="19"/>
  <c r="E110" i="20"/>
  <c r="J34" i="14"/>
  <c r="K138" i="15" s="1"/>
  <c r="L138" i="15" s="1"/>
  <c r="L139" i="15" s="1"/>
  <c r="H30" i="13" s="1"/>
  <c r="H34" i="14"/>
  <c r="H249" i="19"/>
  <c r="F51" i="20"/>
  <c r="H130" i="15"/>
  <c r="G135" i="15"/>
  <c r="H256" i="19"/>
  <c r="F39" i="20"/>
  <c r="G11" i="43" s="1"/>
  <c r="F26" i="13"/>
  <c r="H132" i="15"/>
  <c r="H251" i="19"/>
  <c r="H236" i="19"/>
  <c r="L111" i="19"/>
  <c r="L112" i="19" s="1"/>
  <c r="H24" i="20" s="1"/>
  <c r="K116" i="19" l="1"/>
  <c r="L116" i="19" s="1"/>
  <c r="L117" i="19" s="1"/>
  <c r="H25" i="20" s="1"/>
  <c r="K686" i="19"/>
  <c r="L686" i="19" s="1"/>
  <c r="K681" i="19"/>
  <c r="L681" i="19" s="1"/>
  <c r="L682" i="19" s="1"/>
  <c r="H135" i="20" s="1"/>
  <c r="E38" i="20"/>
  <c r="J220" i="19"/>
  <c r="E220" i="19"/>
  <c r="G48" i="20"/>
  <c r="F218" i="19"/>
  <c r="J228" i="19"/>
  <c r="E228" i="19"/>
  <c r="G24" i="13"/>
  <c r="F121" i="15"/>
  <c r="I246" i="19"/>
  <c r="E23" i="13"/>
  <c r="I129" i="15"/>
  <c r="K31" i="14"/>
  <c r="J181" i="19"/>
  <c r="E181" i="19"/>
  <c r="J233" i="19"/>
  <c r="E233" i="19"/>
  <c r="J126" i="15"/>
  <c r="E126" i="15"/>
  <c r="D33" i="14"/>
  <c r="I32" i="14"/>
  <c r="J213" i="19"/>
  <c r="F212" i="19"/>
  <c r="J226" i="19"/>
  <c r="F223" i="19"/>
  <c r="J124" i="15"/>
  <c r="F123" i="15"/>
  <c r="G138" i="15"/>
  <c r="H135" i="15"/>
  <c r="H254" i="19"/>
  <c r="G238" i="19"/>
  <c r="F52" i="20"/>
  <c r="H133" i="15"/>
  <c r="H259" i="19"/>
  <c r="F27" i="13"/>
  <c r="F55" i="20"/>
  <c r="L687" i="19" l="1"/>
  <c r="H136" i="20" s="1"/>
  <c r="E48" i="20"/>
  <c r="J221" i="19"/>
  <c r="F220" i="19"/>
  <c r="G47" i="20"/>
  <c r="F213" i="19"/>
  <c r="D34" i="14"/>
  <c r="I34" i="14" s="1"/>
  <c r="I33" i="14"/>
  <c r="I256" i="19"/>
  <c r="E24" i="13"/>
  <c r="I132" i="15"/>
  <c r="K32" i="14"/>
  <c r="J127" i="15"/>
  <c r="F126" i="15"/>
  <c r="J231" i="19"/>
  <c r="F228" i="19"/>
  <c r="G50" i="20"/>
  <c r="F226" i="19"/>
  <c r="J246" i="19"/>
  <c r="I251" i="19"/>
  <c r="E246" i="19"/>
  <c r="J236" i="19"/>
  <c r="F233" i="19"/>
  <c r="J182" i="19"/>
  <c r="F181" i="19"/>
  <c r="J129" i="15"/>
  <c r="E129" i="15"/>
  <c r="G25" i="13"/>
  <c r="E25" i="13" s="1"/>
  <c r="F124" i="15"/>
  <c r="H138" i="15"/>
  <c r="G106" i="19"/>
  <c r="H238" i="19"/>
  <c r="H136" i="15"/>
  <c r="F28" i="13"/>
  <c r="G676" i="19" s="1"/>
  <c r="H676" i="19" s="1"/>
  <c r="H677" i="19" s="1"/>
  <c r="F132" i="20" s="1"/>
  <c r="F57" i="20"/>
  <c r="F56" i="20"/>
  <c r="K16" i="43" l="1"/>
  <c r="L16" i="43" s="1"/>
  <c r="L15" i="43"/>
  <c r="E50" i="20"/>
  <c r="F221" i="19"/>
  <c r="G49" i="20"/>
  <c r="E49" i="20" s="1"/>
  <c r="E47" i="20"/>
  <c r="G51" i="20"/>
  <c r="E51" i="20" s="1"/>
  <c r="F231" i="19"/>
  <c r="I135" i="15"/>
  <c r="K33" i="14"/>
  <c r="J130" i="15"/>
  <c r="F129" i="15"/>
  <c r="G26" i="13"/>
  <c r="E26" i="13" s="1"/>
  <c r="F127" i="15"/>
  <c r="J249" i="19"/>
  <c r="F246" i="19"/>
  <c r="I138" i="15"/>
  <c r="K34" i="14"/>
  <c r="J132" i="15"/>
  <c r="E132" i="15"/>
  <c r="I238" i="19"/>
  <c r="G52" i="20"/>
  <c r="E52" i="20" s="1"/>
  <c r="F236" i="19"/>
  <c r="J251" i="19"/>
  <c r="E251" i="19"/>
  <c r="G39" i="20"/>
  <c r="I11" i="43" s="1"/>
  <c r="F182" i="19"/>
  <c r="J256" i="19"/>
  <c r="E256" i="19"/>
  <c r="H139" i="15"/>
  <c r="F29" i="13"/>
  <c r="H239" i="19"/>
  <c r="E25" i="43" l="1"/>
  <c r="I26" i="43"/>
  <c r="J25" i="43"/>
  <c r="J29" i="43" s="1"/>
  <c r="E39" i="20"/>
  <c r="G55" i="20"/>
  <c r="E55" i="20" s="1"/>
  <c r="F249" i="19"/>
  <c r="J259" i="19"/>
  <c r="F256" i="19"/>
  <c r="J135" i="15"/>
  <c r="E135" i="15"/>
  <c r="G27" i="13"/>
  <c r="F130" i="15"/>
  <c r="J254" i="19"/>
  <c r="F251" i="19"/>
  <c r="J238" i="19"/>
  <c r="E238" i="19"/>
  <c r="J133" i="15"/>
  <c r="F132" i="15"/>
  <c r="J138" i="15"/>
  <c r="E138" i="15"/>
  <c r="F30" i="13"/>
  <c r="H106" i="19"/>
  <c r="F53" i="20"/>
  <c r="G111" i="19"/>
  <c r="G681" i="19" l="1"/>
  <c r="H681" i="19" s="1"/>
  <c r="H682" i="19" s="1"/>
  <c r="G686" i="19"/>
  <c r="F25" i="43"/>
  <c r="J26" i="43"/>
  <c r="J31" i="43" s="1"/>
  <c r="E26" i="43"/>
  <c r="J136" i="15"/>
  <c r="F135" i="15"/>
  <c r="G57" i="20"/>
  <c r="E57" i="20" s="1"/>
  <c r="F259" i="19"/>
  <c r="I106" i="19"/>
  <c r="E106" i="19" s="1"/>
  <c r="E27" i="13"/>
  <c r="J139" i="15"/>
  <c r="F138" i="15"/>
  <c r="J239" i="19"/>
  <c r="F238" i="19"/>
  <c r="G56" i="20"/>
  <c r="E56" i="20" s="1"/>
  <c r="F254" i="19"/>
  <c r="G28" i="13"/>
  <c r="I676" i="19" s="1"/>
  <c r="J676" i="19" s="1"/>
  <c r="J677" i="19" s="1"/>
  <c r="F133" i="15"/>
  <c r="G116" i="19"/>
  <c r="H107" i="19"/>
  <c r="H111" i="19"/>
  <c r="H686" i="19" l="1"/>
  <c r="H687" i="19"/>
  <c r="F136" i="20"/>
  <c r="F135" i="20"/>
  <c r="F677" i="19"/>
  <c r="G132" i="20"/>
  <c r="F26" i="43"/>
  <c r="G30" i="13"/>
  <c r="F139" i="15"/>
  <c r="G53" i="20"/>
  <c r="E53" i="20" s="1"/>
  <c r="F239" i="19"/>
  <c r="J106" i="19"/>
  <c r="E28" i="13"/>
  <c r="E676" i="19" s="1"/>
  <c r="G29" i="13"/>
  <c r="F136" i="15"/>
  <c r="H112" i="19"/>
  <c r="H116" i="19"/>
  <c r="F23" i="20"/>
  <c r="F676" i="19" l="1"/>
  <c r="H697" i="19"/>
  <c r="E697" i="19"/>
  <c r="I686" i="19"/>
  <c r="J686" i="19" s="1"/>
  <c r="I681" i="19"/>
  <c r="J681" i="19" s="1"/>
  <c r="J682" i="19" s="1"/>
  <c r="H11" i="43"/>
  <c r="G12" i="43"/>
  <c r="E132" i="20"/>
  <c r="J107" i="19"/>
  <c r="F106" i="19"/>
  <c r="I111" i="19"/>
  <c r="E29" i="13"/>
  <c r="I116" i="19"/>
  <c r="E30" i="13"/>
  <c r="H117" i="19"/>
  <c r="F24" i="20"/>
  <c r="F697" i="19" l="1"/>
  <c r="K698" i="19" s="1"/>
  <c r="H699" i="19"/>
  <c r="F138" i="20" s="1"/>
  <c r="J687" i="19"/>
  <c r="E140" i="20"/>
  <c r="H12" i="43"/>
  <c r="G135" i="20"/>
  <c r="F682" i="19"/>
  <c r="G136" i="20"/>
  <c r="F687" i="19"/>
  <c r="J116" i="19"/>
  <c r="E116" i="19"/>
  <c r="J111" i="19"/>
  <c r="E111" i="19"/>
  <c r="G23" i="20"/>
  <c r="F107" i="19"/>
  <c r="F25" i="20"/>
  <c r="G13" i="43" l="1"/>
  <c r="L698" i="19"/>
  <c r="E698" i="19"/>
  <c r="E135" i="20"/>
  <c r="E136" i="20"/>
  <c r="I12" i="43"/>
  <c r="J11" i="43"/>
  <c r="F11" i="43" s="1"/>
  <c r="E11" i="43"/>
  <c r="I14" i="43"/>
  <c r="J13" i="43"/>
  <c r="E23" i="20"/>
  <c r="J112" i="19"/>
  <c r="F111" i="19"/>
  <c r="J117" i="19"/>
  <c r="F116" i="19"/>
  <c r="I416" i="19"/>
  <c r="J416" i="19" s="1"/>
  <c r="J417" i="19" s="1"/>
  <c r="G86" i="20" s="1"/>
  <c r="I440" i="19"/>
  <c r="J440" i="19" s="1"/>
  <c r="J441" i="19" s="1"/>
  <c r="G90" i="20" s="1"/>
  <c r="J429" i="19"/>
  <c r="G88" i="20" s="1"/>
  <c r="G440" i="19"/>
  <c r="H429" i="19"/>
  <c r="H13" i="43" l="1"/>
  <c r="G14" i="43"/>
  <c r="H14" i="43" s="1"/>
  <c r="L699" i="19"/>
  <c r="F698" i="19"/>
  <c r="I20" i="43"/>
  <c r="J20" i="43" s="1"/>
  <c r="J19" i="43"/>
  <c r="J12" i="43"/>
  <c r="F12" i="43" s="1"/>
  <c r="E12" i="43"/>
  <c r="I16" i="43"/>
  <c r="J16" i="43" s="1"/>
  <c r="J15" i="43"/>
  <c r="J14" i="43"/>
  <c r="G25" i="20"/>
  <c r="F117" i="19"/>
  <c r="G24" i="20"/>
  <c r="F112" i="19"/>
  <c r="E440" i="19"/>
  <c r="F429" i="19"/>
  <c r="F88" i="20"/>
  <c r="E416" i="19"/>
  <c r="H416" i="19"/>
  <c r="H440" i="19"/>
  <c r="F699" i="19" l="1"/>
  <c r="H138" i="20"/>
  <c r="J30" i="43"/>
  <c r="E25" i="20"/>
  <c r="E24" i="20"/>
  <c r="E88" i="20"/>
  <c r="F416" i="19"/>
  <c r="H417" i="19"/>
  <c r="F440" i="19"/>
  <c r="H441" i="19"/>
  <c r="K13" i="43" l="1"/>
  <c r="E138" i="20"/>
  <c r="J32" i="43"/>
  <c r="F441" i="19"/>
  <c r="F90" i="20"/>
  <c r="E90" i="20" s="1"/>
  <c r="F86" i="20"/>
  <c r="F417" i="19"/>
  <c r="K14" i="43" l="1"/>
  <c r="L13" i="43"/>
  <c r="E13" i="43"/>
  <c r="E19" i="43"/>
  <c r="H19" i="43"/>
  <c r="G20" i="43"/>
  <c r="G16" i="43"/>
  <c r="E15" i="43"/>
  <c r="H15" i="43"/>
  <c r="J6" i="74"/>
  <c r="J5" i="74"/>
  <c r="E86" i="20"/>
  <c r="F13" i="43" l="1"/>
  <c r="L14" i="43"/>
  <c r="E14" i="43"/>
  <c r="E20" i="43"/>
  <c r="H20" i="43"/>
  <c r="F20" i="43" s="1"/>
  <c r="F19" i="43"/>
  <c r="F15" i="43"/>
  <c r="E16" i="43"/>
  <c r="H16" i="43"/>
  <c r="J21" i="74"/>
  <c r="J22" i="74" s="1"/>
  <c r="G8" i="44" s="1"/>
  <c r="F29" i="43" l="1"/>
  <c r="F14" i="43"/>
  <c r="L30" i="43"/>
  <c r="L5" i="74"/>
  <c r="L19" i="74" s="1"/>
  <c r="L20" i="74" s="1"/>
  <c r="F16" i="43"/>
  <c r="H30" i="43"/>
  <c r="H5" i="74"/>
  <c r="H19" i="74" s="1"/>
  <c r="J19" i="74"/>
  <c r="J20" i="74" s="1"/>
  <c r="D8" i="44" s="1"/>
  <c r="I8" i="44"/>
  <c r="D9" i="44" l="1"/>
  <c r="F9" i="44" s="1"/>
  <c r="F30" i="43"/>
  <c r="L32" i="43"/>
  <c r="L6" i="74"/>
  <c r="L21" i="74" s="1"/>
  <c r="L22" i="74" s="1"/>
  <c r="G9" i="44" s="1"/>
  <c r="H6" i="74"/>
  <c r="H21" i="74" s="1"/>
  <c r="F31" i="43"/>
  <c r="H32" i="43"/>
  <c r="F8" i="44"/>
  <c r="F5" i="74"/>
  <c r="H20" i="74"/>
  <c r="D5" i="44" s="1"/>
  <c r="F19" i="74"/>
  <c r="F32" i="43" l="1"/>
  <c r="I9" i="44"/>
  <c r="J9" i="44"/>
  <c r="L9" i="44" s="1"/>
  <c r="F6" i="74"/>
  <c r="J8" i="44"/>
  <c r="L8" i="44" s="1"/>
  <c r="F20" i="74"/>
  <c r="F21" i="74"/>
  <c r="H22" i="74"/>
  <c r="G5" i="44" s="1"/>
  <c r="G12" i="44" l="1"/>
  <c r="G13" i="44"/>
  <c r="G15" i="44"/>
  <c r="G17" i="44"/>
  <c r="G14" i="44"/>
  <c r="D13" i="44"/>
  <c r="D12" i="44"/>
  <c r="D17" i="44"/>
  <c r="F17" i="44" s="1"/>
  <c r="D15" i="44"/>
  <c r="D14" i="44"/>
  <c r="F22" i="74"/>
  <c r="F5" i="44"/>
  <c r="D6" i="44"/>
  <c r="I17" i="44" l="1"/>
  <c r="F13" i="44"/>
  <c r="F14" i="44"/>
  <c r="F15" i="44"/>
  <c r="F12" i="44"/>
  <c r="D18" i="44"/>
  <c r="D7" i="44"/>
  <c r="F6" i="44"/>
  <c r="G6" i="44"/>
  <c r="J5" i="44"/>
  <c r="L5" i="44" s="1"/>
  <c r="I5" i="44"/>
  <c r="J14" i="44" l="1"/>
  <c r="L14" i="44" s="1"/>
  <c r="I14" i="44"/>
  <c r="I13" i="44"/>
  <c r="J13" i="44"/>
  <c r="L13" i="44" s="1"/>
  <c r="I12" i="44"/>
  <c r="J12" i="44"/>
  <c r="L12" i="44" s="1"/>
  <c r="G18" i="44"/>
  <c r="D11" i="44"/>
  <c r="D16" i="44"/>
  <c r="D10" i="44"/>
  <c r="F7" i="44"/>
  <c r="J15" i="44"/>
  <c r="L15" i="44" s="1"/>
  <c r="I15" i="44"/>
  <c r="G7" i="44"/>
  <c r="I6" i="44"/>
  <c r="J6" i="44"/>
  <c r="L6" i="44" s="1"/>
  <c r="F18" i="44"/>
  <c r="D19" i="44" l="1"/>
  <c r="J18" i="44"/>
  <c r="L18" i="44" s="1"/>
  <c r="I18" i="44"/>
  <c r="F10" i="44"/>
  <c r="I7" i="44"/>
  <c r="G10" i="44"/>
  <c r="G11" i="44"/>
  <c r="G16" i="44"/>
  <c r="J7" i="44"/>
  <c r="L7" i="44" s="1"/>
  <c r="F16" i="44"/>
  <c r="F11" i="44"/>
  <c r="G19" i="44" l="1"/>
  <c r="G20" i="44" s="1"/>
  <c r="G23" i="44" s="1"/>
  <c r="I16" i="44"/>
  <c r="J16" i="44"/>
  <c r="L16" i="44" s="1"/>
  <c r="F19" i="44"/>
  <c r="D20" i="44"/>
  <c r="D23" i="44" s="1"/>
  <c r="J11" i="44"/>
  <c r="L11" i="44" s="1"/>
  <c r="I11" i="44"/>
  <c r="I10" i="44"/>
  <c r="J10" i="44"/>
  <c r="L10" i="44" s="1"/>
  <c r="F20" i="44" l="1"/>
  <c r="J19" i="44"/>
  <c r="L19" i="44" s="1"/>
  <c r="I19" i="44"/>
  <c r="D21" i="44"/>
  <c r="F23" i="44" l="1"/>
  <c r="F21" i="44"/>
  <c r="D22" i="44"/>
  <c r="D26" i="44" s="1"/>
  <c r="G21" i="44"/>
  <c r="I20" i="44"/>
  <c r="J20" i="44"/>
  <c r="L20" i="44" s="1"/>
  <c r="D27" i="44" l="1"/>
  <c r="F27" i="44" s="1"/>
  <c r="J23" i="44"/>
  <c r="L23" i="44" s="1"/>
  <c r="I23" i="44"/>
  <c r="F22" i="44"/>
  <c r="G22" i="44"/>
  <c r="G26" i="44" s="1"/>
  <c r="J21" i="44"/>
  <c r="L21" i="44" s="1"/>
  <c r="I21" i="44"/>
  <c r="G27" i="44" l="1"/>
  <c r="D29" i="44"/>
  <c r="B12" i="52" s="1"/>
  <c r="J22" i="44"/>
  <c r="L22" i="44" s="1"/>
  <c r="I22" i="44"/>
  <c r="I27" i="44" l="1"/>
  <c r="J27" i="44"/>
  <c r="L27" i="44" s="1"/>
  <c r="G29" i="44"/>
  <c r="C12" i="52" s="1"/>
  <c r="F26" i="44"/>
  <c r="J26" i="44" l="1"/>
  <c r="L26" i="44" s="1"/>
  <c r="I26" i="44"/>
  <c r="F28" i="44" l="1"/>
  <c r="J28" i="44" l="1"/>
  <c r="L28" i="44" s="1"/>
  <c r="I28" i="44"/>
  <c r="F29" i="44"/>
  <c r="J29" i="44" l="1"/>
  <c r="L29" i="44" s="1"/>
  <c r="I29" i="44"/>
  <c r="B15" i="52" l="1"/>
  <c r="D12" i="52" l="1"/>
  <c r="C15" i="52" l="1"/>
  <c r="D15" i="52" s="1"/>
  <c r="B20" i="52" l="1"/>
  <c r="B22" i="52" s="1"/>
  <c r="B5" i="52" s="1"/>
  <c r="H12" i="52" l="1"/>
  <c r="B8" i="52"/>
  <c r="D16" i="52" l="1"/>
  <c r="D18" i="52" l="1"/>
  <c r="D17" i="52" l="1"/>
  <c r="D20" i="52" s="1"/>
  <c r="C20" i="52" l="1"/>
  <c r="C22" i="52" s="1"/>
  <c r="O580" i="19" l="1"/>
  <c r="D22" i="52"/>
  <c r="C23" i="35"/>
  <c r="C5" i="52"/>
  <c r="D5" i="52" s="1"/>
  <c r="D8" i="52" s="1"/>
  <c r="C8" i="52"/>
</calcChain>
</file>

<file path=xl/sharedStrings.xml><?xml version="1.0" encoding="utf-8"?>
<sst xmlns="http://schemas.openxmlformats.org/spreadsheetml/2006/main" count="8713" uniqueCount="2765">
  <si>
    <t>D=800mm</t>
    <phoneticPr fontId="3" type="noConversion"/>
  </si>
  <si>
    <t>D=1000mm</t>
    <phoneticPr fontId="3" type="noConversion"/>
  </si>
  <si>
    <t>1000*800</t>
    <phoneticPr fontId="3" type="noConversion"/>
  </si>
  <si>
    <t>조립식배수관</t>
    <phoneticPr fontId="3" type="noConversion"/>
  </si>
  <si>
    <t>900*1000</t>
    <phoneticPr fontId="3" type="noConversion"/>
  </si>
  <si>
    <t>자재단위당운반비</t>
    <phoneticPr fontId="3" type="noConversion"/>
  </si>
  <si>
    <t>공     종</t>
    <phoneticPr fontId="3" type="noConversion"/>
  </si>
  <si>
    <t>사용장비</t>
    <phoneticPr fontId="3" type="noConversion"/>
  </si>
  <si>
    <t>잡유(주연료의22%)</t>
    <phoneticPr fontId="3" type="noConversion"/>
  </si>
  <si>
    <t>플레이트 콤펙터</t>
    <phoneticPr fontId="3" type="noConversion"/>
  </si>
  <si>
    <t>1.5ton</t>
    <phoneticPr fontId="3" type="noConversion"/>
  </si>
  <si>
    <t xml:space="preserve">합판거푸집(6회) 10㎥ 이상 </t>
    <phoneticPr fontId="3" type="noConversion"/>
  </si>
  <si>
    <t>수로관</t>
    <phoneticPr fontId="3" type="noConversion"/>
  </si>
  <si>
    <t>800B</t>
    <phoneticPr fontId="3" type="noConversion"/>
  </si>
  <si>
    <t>본</t>
    <phoneticPr fontId="3" type="noConversion"/>
  </si>
  <si>
    <t xml:space="preserve">구조물헐기(브레이카 철근 t=30㎝ 미만) </t>
    <phoneticPr fontId="3" type="noConversion"/>
  </si>
  <si>
    <t>철근구조물헐기(철근절단)</t>
    <phoneticPr fontId="3" type="noConversion"/>
  </si>
  <si>
    <t>용접공</t>
    <phoneticPr fontId="3" type="noConversion"/>
  </si>
  <si>
    <t>아세치렌</t>
    <phoneticPr fontId="3" type="noConversion"/>
  </si>
  <si>
    <t>산소</t>
    <phoneticPr fontId="3" type="noConversion"/>
  </si>
  <si>
    <t>기구손료</t>
    <phoneticPr fontId="3" type="noConversion"/>
  </si>
  <si>
    <t>3KG B급</t>
    <phoneticPr fontId="3" type="noConversion"/>
  </si>
  <si>
    <t>6.8/10*1000/6000</t>
    <phoneticPr fontId="3" type="noConversion"/>
  </si>
  <si>
    <t>노력비의1%</t>
    <phoneticPr fontId="3" type="noConversion"/>
  </si>
  <si>
    <t>철근구조물헐기</t>
    <phoneticPr fontId="3" type="noConversion"/>
  </si>
  <si>
    <t>철근절단</t>
    <phoneticPr fontId="3" type="noConversion"/>
  </si>
  <si>
    <t>콘크리트공</t>
    <phoneticPr fontId="3" type="noConversion"/>
  </si>
  <si>
    <t>보통인부</t>
    <phoneticPr fontId="3" type="noConversion"/>
  </si>
  <si>
    <t>콘크리트다짐</t>
    <phoneticPr fontId="3" type="noConversion"/>
  </si>
  <si>
    <t>160-40-8</t>
    <phoneticPr fontId="3" type="noConversion"/>
  </si>
  <si>
    <t>인</t>
    <phoneticPr fontId="3" type="noConversion"/>
  </si>
  <si>
    <t>㎥</t>
    <phoneticPr fontId="3" type="noConversion"/>
  </si>
  <si>
    <t>10㎥이상</t>
    <phoneticPr fontId="3" type="noConversion"/>
  </si>
  <si>
    <t>레미콘 : 철근(240-25)  10㎥이상</t>
    <phoneticPr fontId="3" type="noConversion"/>
  </si>
  <si>
    <t>레미콘:무근</t>
    <phoneticPr fontId="3" type="noConversion"/>
  </si>
  <si>
    <t>콘크리트소운반</t>
    <phoneticPr fontId="3" type="noConversion"/>
  </si>
  <si>
    <t>경운기</t>
    <phoneticPr fontId="3" type="noConversion"/>
  </si>
  <si>
    <t xml:space="preserve">재료또는 </t>
  </si>
  <si>
    <t>노인장기요양보험료</t>
    <phoneticPr fontId="3" type="noConversion"/>
  </si>
  <si>
    <t>철근콘크리트수로관 부설(600*600)</t>
    <phoneticPr fontId="3" type="noConversion"/>
  </si>
  <si>
    <t>조립식구조물설치(500C 500~700kg)</t>
    <phoneticPr fontId="3" type="noConversion"/>
  </si>
  <si>
    <t>조립식구조물설치 500C (500~700kg)</t>
    <phoneticPr fontId="3" type="noConversion"/>
  </si>
  <si>
    <t>500C</t>
    <phoneticPr fontId="3" type="noConversion"/>
  </si>
  <si>
    <t>철근콘크리트수로관 500C</t>
    <phoneticPr fontId="3" type="noConversion"/>
  </si>
  <si>
    <t>철근콘크리트수로관 부설(500*500)</t>
    <phoneticPr fontId="3" type="noConversion"/>
  </si>
  <si>
    <t>D1000</t>
    <phoneticPr fontId="3" type="noConversion"/>
  </si>
  <si>
    <t>소켓식흄관고무링접합 D1000</t>
    <phoneticPr fontId="3" type="noConversion"/>
  </si>
  <si>
    <t>노  무  비</t>
  </si>
  <si>
    <t>재  료  비</t>
  </si>
  <si>
    <t>치수</t>
  </si>
  <si>
    <t>단위</t>
    <phoneticPr fontId="3" type="noConversion"/>
  </si>
  <si>
    <t xml:space="preserve">강관비계(6개월) </t>
    <phoneticPr fontId="3" type="noConversion"/>
  </si>
  <si>
    <t>단  가</t>
    <phoneticPr fontId="3" type="noConversion"/>
  </si>
  <si>
    <t>계</t>
    <phoneticPr fontId="3" type="noConversion"/>
  </si>
  <si>
    <t>금    액</t>
    <phoneticPr fontId="3" type="noConversion"/>
  </si>
  <si>
    <t>ton</t>
    <phoneticPr fontId="3" type="noConversion"/>
  </si>
  <si>
    <t>직접노무비</t>
    <phoneticPr fontId="3" type="noConversion"/>
  </si>
  <si>
    <t>간접노무비</t>
    <phoneticPr fontId="3" type="noConversion"/>
  </si>
  <si>
    <t>소계</t>
    <phoneticPr fontId="3" type="noConversion"/>
  </si>
  <si>
    <t>산재보험료</t>
    <phoneticPr fontId="3" type="noConversion"/>
  </si>
  <si>
    <t>고용보험료</t>
    <phoneticPr fontId="3" type="noConversion"/>
  </si>
  <si>
    <t>건강보험료</t>
    <phoneticPr fontId="3" type="noConversion"/>
  </si>
  <si>
    <t>연금보험료</t>
    <phoneticPr fontId="3" type="noConversion"/>
  </si>
  <si>
    <t>환경보전비</t>
    <phoneticPr fontId="3" type="noConversion"/>
  </si>
  <si>
    <t xml:space="preserve">기타경비 </t>
    <phoneticPr fontId="3" type="noConversion"/>
  </si>
  <si>
    <t>자      재      별</t>
    <phoneticPr fontId="3" type="noConversion"/>
  </si>
  <si>
    <t>성토 다짐(콤팩터)</t>
    <phoneticPr fontId="3" type="noConversion"/>
  </si>
  <si>
    <t>순성토(토사95%)</t>
    <phoneticPr fontId="3" type="noConversion"/>
  </si>
  <si>
    <t>깍기 및 적재</t>
    <phoneticPr fontId="3" type="noConversion"/>
  </si>
  <si>
    <t>순성토운반</t>
    <phoneticPr fontId="3" type="noConversion"/>
  </si>
  <si>
    <t>굴삭기1.0㎥</t>
    <phoneticPr fontId="3" type="noConversion"/>
  </si>
  <si>
    <t xml:space="preserve">순성토(토사95%) </t>
    <phoneticPr fontId="3" type="noConversion"/>
  </si>
  <si>
    <t>도쟈12ton</t>
    <phoneticPr fontId="3" type="noConversion"/>
  </si>
  <si>
    <t>1.04*1.5</t>
    <phoneticPr fontId="3" type="noConversion"/>
  </si>
  <si>
    <t>양회운반</t>
    <phoneticPr fontId="3" type="noConversion"/>
  </si>
  <si>
    <t>철근운반</t>
    <phoneticPr fontId="3" type="noConversion"/>
  </si>
  <si>
    <t>목재운반</t>
    <phoneticPr fontId="3" type="noConversion"/>
  </si>
  <si>
    <t>철재운반</t>
    <phoneticPr fontId="3" type="noConversion"/>
  </si>
  <si>
    <t>모래운반</t>
    <phoneticPr fontId="3" type="noConversion"/>
  </si>
  <si>
    <t>덤프 15ton</t>
    <phoneticPr fontId="3" type="noConversion"/>
  </si>
  <si>
    <t>자갈운반</t>
    <phoneticPr fontId="3" type="noConversion"/>
  </si>
  <si>
    <t>자갈운반 (소운반)</t>
    <phoneticPr fontId="3" type="noConversion"/>
  </si>
  <si>
    <t>조약돌운반</t>
    <phoneticPr fontId="3" type="noConversion"/>
  </si>
  <si>
    <t>조약돌운반(소운반)</t>
    <phoneticPr fontId="3" type="noConversion"/>
  </si>
  <si>
    <t>사석운반(소운반)</t>
    <phoneticPr fontId="3" type="noConversion"/>
  </si>
  <si>
    <t>흄관(D500)운반</t>
    <phoneticPr fontId="3" type="noConversion"/>
  </si>
  <si>
    <t>본</t>
    <phoneticPr fontId="3" type="noConversion"/>
  </si>
  <si>
    <t>흄관(D600)운반</t>
    <phoneticPr fontId="3" type="noConversion"/>
  </si>
  <si>
    <t>수로관(400*400)운반</t>
    <phoneticPr fontId="3" type="noConversion"/>
  </si>
  <si>
    <t>수로관(500*500)운반</t>
    <phoneticPr fontId="3" type="noConversion"/>
  </si>
  <si>
    <t>수로관(600*500)운반</t>
    <phoneticPr fontId="3" type="noConversion"/>
  </si>
  <si>
    <t>수로관(600*600)운반</t>
    <phoneticPr fontId="3" type="noConversion"/>
  </si>
  <si>
    <t>수로관(800*700)운반</t>
    <phoneticPr fontId="3" type="noConversion"/>
  </si>
  <si>
    <t>PE관(D100mm)운반</t>
    <phoneticPr fontId="3" type="noConversion"/>
  </si>
  <si>
    <t>PE관(D150mm)운반</t>
    <phoneticPr fontId="3" type="noConversion"/>
  </si>
  <si>
    <t>PE관(D200mm)운반</t>
    <phoneticPr fontId="3" type="noConversion"/>
  </si>
  <si>
    <t>PE관(D250mm)운반</t>
    <phoneticPr fontId="3" type="noConversion"/>
  </si>
  <si>
    <t>PE관(D300mm)운반</t>
    <phoneticPr fontId="3" type="noConversion"/>
  </si>
  <si>
    <t>자재단가내역</t>
    <phoneticPr fontId="3" type="noConversion"/>
  </si>
  <si>
    <t>지급자재</t>
    <phoneticPr fontId="3" type="noConversion"/>
  </si>
  <si>
    <t>일반철재</t>
    <phoneticPr fontId="3" type="noConversion"/>
  </si>
  <si>
    <t>특수철재</t>
    <phoneticPr fontId="3" type="noConversion"/>
  </si>
  <si>
    <t>흄관운반 (D500)</t>
    <phoneticPr fontId="3" type="noConversion"/>
  </si>
  <si>
    <t>1 본</t>
    <phoneticPr fontId="3" type="noConversion"/>
  </si>
  <si>
    <t>하차</t>
    <phoneticPr fontId="3" type="noConversion"/>
  </si>
  <si>
    <t>본</t>
    <phoneticPr fontId="3" type="noConversion"/>
  </si>
  <si>
    <t>흄관운반 (D600)</t>
    <phoneticPr fontId="3" type="noConversion"/>
  </si>
  <si>
    <t>흄관운반 (D800)</t>
    <phoneticPr fontId="3" type="noConversion"/>
  </si>
  <si>
    <t>수로관운반 (400*400)</t>
    <phoneticPr fontId="3" type="noConversion"/>
  </si>
  <si>
    <t>수로관운반 (500*500)</t>
    <phoneticPr fontId="3" type="noConversion"/>
  </si>
  <si>
    <t>수로관운반 (600*500)</t>
    <phoneticPr fontId="3" type="noConversion"/>
  </si>
  <si>
    <t>수로관운반 (600*600)</t>
    <phoneticPr fontId="3" type="noConversion"/>
  </si>
  <si>
    <t>수로관운반 (800*700)</t>
    <phoneticPr fontId="3" type="noConversion"/>
  </si>
  <si>
    <t>PE관운반 (D100mm)</t>
    <phoneticPr fontId="3" type="noConversion"/>
  </si>
  <si>
    <t>PE관운반 (D150mm)</t>
    <phoneticPr fontId="3" type="noConversion"/>
  </si>
  <si>
    <t>PE관운반 (D200mm)</t>
    <phoneticPr fontId="3" type="noConversion"/>
  </si>
  <si>
    <t>PE관운반 (D250mm)</t>
    <phoneticPr fontId="3" type="noConversion"/>
  </si>
  <si>
    <t>PE관운반 (D300mm)</t>
    <phoneticPr fontId="3" type="noConversion"/>
  </si>
  <si>
    <t>백호 0.7㎥</t>
    <phoneticPr fontId="3" type="noConversion"/>
  </si>
  <si>
    <t>개소</t>
    <phoneticPr fontId="3" type="noConversion"/>
  </si>
  <si>
    <t>작업량산출내역</t>
    <phoneticPr fontId="3" type="noConversion"/>
  </si>
  <si>
    <t>19 ton</t>
    <phoneticPr fontId="3" type="noConversion"/>
  </si>
  <si>
    <t>표토제거(모래,사질토)</t>
    <phoneticPr fontId="3" type="noConversion"/>
  </si>
  <si>
    <t>0.7㎥</t>
    <phoneticPr fontId="3" type="noConversion"/>
  </si>
  <si>
    <t>잔토처리(암) 적재</t>
    <phoneticPr fontId="3" type="noConversion"/>
  </si>
  <si>
    <t>f=(1.0/1.3)=</t>
    <phoneticPr fontId="3" type="noConversion"/>
  </si>
  <si>
    <t>잔토처리(암) 운반</t>
    <phoneticPr fontId="3" type="noConversion"/>
  </si>
  <si>
    <t>덤프  15ton</t>
    <phoneticPr fontId="3" type="noConversion"/>
  </si>
  <si>
    <t>f=(0.93/1.25)=</t>
    <phoneticPr fontId="3" type="noConversion"/>
  </si>
  <si>
    <t>분      t5=</t>
    <phoneticPr fontId="3" type="noConversion"/>
  </si>
  <si>
    <t>cm=t1+t2+t3+t4+t5=</t>
    <phoneticPr fontId="3" type="noConversion"/>
  </si>
  <si>
    <t>종단유용(토사)</t>
    <phoneticPr fontId="3" type="noConversion"/>
  </si>
  <si>
    <t>종단유용(암)</t>
    <phoneticPr fontId="3" type="noConversion"/>
  </si>
  <si>
    <t>f=0.95/1.17=</t>
    <phoneticPr fontId="3" type="noConversion"/>
  </si>
  <si>
    <t>f=(1.0/1.5)=</t>
    <phoneticPr fontId="3" type="noConversion"/>
  </si>
  <si>
    <t>깍기 및 적재(토사)</t>
    <phoneticPr fontId="3" type="noConversion"/>
  </si>
  <si>
    <t>깍기 및 적재(점토)</t>
    <phoneticPr fontId="3" type="noConversion"/>
  </si>
  <si>
    <t>f=(0.93/1.32)=</t>
    <phoneticPr fontId="3" type="noConversion"/>
  </si>
  <si>
    <t>순성토운반(토사)</t>
    <phoneticPr fontId="3" type="noConversion"/>
  </si>
  <si>
    <t>순성토운반(점토)</t>
    <phoneticPr fontId="3" type="noConversion"/>
  </si>
  <si>
    <t xml:space="preserve"> 사토적재(토사)</t>
    <phoneticPr fontId="3" type="noConversion"/>
  </si>
  <si>
    <t>f=(0.90/1.25)=</t>
    <phoneticPr fontId="3" type="noConversion"/>
  </si>
  <si>
    <t>사토운반(토사)</t>
    <phoneticPr fontId="3" type="noConversion"/>
  </si>
  <si>
    <t>잔토 사토장 고르기</t>
    <phoneticPr fontId="3" type="noConversion"/>
  </si>
  <si>
    <t>다지기</t>
    <phoneticPr fontId="3" type="noConversion"/>
  </si>
  <si>
    <t xml:space="preserve">Q=1000*V*W*D*E*f/N=  </t>
    <phoneticPr fontId="3" type="noConversion"/>
  </si>
  <si>
    <t>㎥/hr</t>
    <phoneticPr fontId="3" type="noConversion"/>
  </si>
  <si>
    <t>Q=</t>
    <phoneticPr fontId="3" type="noConversion"/>
  </si>
  <si>
    <t>중기운반</t>
    <phoneticPr fontId="3" type="noConversion"/>
  </si>
  <si>
    <t>km</t>
    <phoneticPr fontId="3" type="noConversion"/>
  </si>
  <si>
    <t>-덤프트럭 10.5, 15, 로우더,물탱크5,500ℓ,펌프차</t>
    <phoneticPr fontId="3" type="noConversion"/>
  </si>
  <si>
    <t>hr</t>
    <phoneticPr fontId="3" type="noConversion"/>
  </si>
  <si>
    <t>-트럭트레일러(20ton),</t>
    <phoneticPr fontId="3" type="noConversion"/>
  </si>
  <si>
    <t>㎥/hr</t>
  </si>
  <si>
    <t>㎥/hr</t>
    <phoneticPr fontId="3" type="noConversion"/>
  </si>
  <si>
    <t>백호  0.7㎥</t>
  </si>
  <si>
    <t>도쟈  19ton</t>
  </si>
  <si>
    <t>시  간  당    경  비</t>
  </si>
  <si>
    <t>되메우기(토사)</t>
  </si>
  <si>
    <t>뒷채움(토사)</t>
  </si>
  <si>
    <t>3.2*4.0=</t>
  </si>
  <si>
    <t>잡유(주연료의30%)</t>
    <phoneticPr fontId="3" type="noConversion"/>
  </si>
  <si>
    <t>잡유(주연료의24%)</t>
    <phoneticPr fontId="3" type="noConversion"/>
  </si>
  <si>
    <t xml:space="preserve">불도져 12ton </t>
    <phoneticPr fontId="3" type="noConversion"/>
  </si>
  <si>
    <t>운전수</t>
    <phoneticPr fontId="3" type="noConversion"/>
  </si>
  <si>
    <t>×</t>
    <phoneticPr fontId="3" type="noConversion"/>
  </si>
  <si>
    <t xml:space="preserve">유압식백호 0.7㎥ (암석) </t>
    <phoneticPr fontId="3" type="noConversion"/>
  </si>
  <si>
    <t>×</t>
    <phoneticPr fontId="3" type="noConversion"/>
  </si>
  <si>
    <t>f=1/1.25=</t>
  </si>
  <si>
    <t>%</t>
  </si>
  <si>
    <t>용접공</t>
  </si>
  <si>
    <t>특별인부</t>
  </si>
  <si>
    <t>도장공</t>
  </si>
  <si>
    <t>공구손료</t>
  </si>
  <si>
    <t>품의 3%</t>
  </si>
  <si>
    <t>모래</t>
  </si>
  <si>
    <t>다짐</t>
  </si>
  <si>
    <t>양  수  기</t>
  </si>
  <si>
    <t>손 료</t>
  </si>
  <si>
    <t>콘크리트진동기</t>
  </si>
  <si>
    <t xml:space="preserve">       3.5HP</t>
  </si>
  <si>
    <t>붕상후렉시블</t>
  </si>
  <si>
    <t>경 운 기</t>
  </si>
  <si>
    <t>1 TON</t>
  </si>
  <si>
    <t>양 수 기</t>
  </si>
  <si>
    <t xml:space="preserve">   디젤엔진 9 HP</t>
  </si>
  <si>
    <t>디젤파일햄머</t>
  </si>
  <si>
    <t>1.5  ton</t>
  </si>
  <si>
    <t>T = 2.0mm 이상</t>
  </si>
  <si>
    <t>TOP CHANNEL</t>
  </si>
  <si>
    <t>외부PANEL(벽)</t>
  </si>
  <si>
    <t>1.2 * 2.4 m</t>
  </si>
  <si>
    <t>외부PANEL(창문)</t>
  </si>
  <si>
    <t>중기 운전수</t>
  </si>
  <si>
    <t>손  료(브레이카)</t>
  </si>
  <si>
    <t>단위당중기사용료</t>
    <phoneticPr fontId="3" type="noConversion"/>
  </si>
  <si>
    <t>선별 및 집석</t>
    <phoneticPr fontId="3" type="noConversion"/>
  </si>
  <si>
    <t>엔진식후랙시블형ø45</t>
  </si>
  <si>
    <t>t=12mm×130mm</t>
  </si>
  <si>
    <t>시 간 당  경 비</t>
  </si>
  <si>
    <t>시간당 작업량</t>
  </si>
  <si>
    <t>12~15㎥/min</t>
    <phoneticPr fontId="3" type="noConversion"/>
  </si>
  <si>
    <t>0.7㎥</t>
    <phoneticPr fontId="3" type="noConversion"/>
  </si>
  <si>
    <t>q=1.72㎥</t>
    <phoneticPr fontId="3" type="noConversion"/>
  </si>
  <si>
    <t>q=0.4㎥</t>
    <phoneticPr fontId="3" type="noConversion"/>
  </si>
  <si>
    <t xml:space="preserve">f = 1.0 / 1.12 = </t>
    <phoneticPr fontId="3" type="noConversion"/>
  </si>
  <si>
    <t xml:space="preserve">f = 1.0 / 1.25 = </t>
    <phoneticPr fontId="3" type="noConversion"/>
  </si>
  <si>
    <t>단 가</t>
    <phoneticPr fontId="3" type="noConversion"/>
  </si>
  <si>
    <t xml:space="preserve">f = 1.000 / 1.12 = </t>
    <phoneticPr fontId="3" type="noConversion"/>
  </si>
  <si>
    <t>노무비의 2%</t>
  </si>
  <si>
    <t>12ton(보통)</t>
    <phoneticPr fontId="3" type="noConversion"/>
  </si>
  <si>
    <t>13ton(습지)</t>
    <phoneticPr fontId="3" type="noConversion"/>
  </si>
  <si>
    <t>19ton(보통)</t>
    <phoneticPr fontId="3" type="noConversion"/>
  </si>
  <si>
    <t>20ton</t>
    <phoneticPr fontId="3" type="noConversion"/>
  </si>
  <si>
    <t>15ton(보통)</t>
    <phoneticPr fontId="3" type="noConversion"/>
  </si>
  <si>
    <t>잡유(주연료의39%)</t>
    <phoneticPr fontId="3" type="noConversion"/>
  </si>
  <si>
    <t>잡유(주연료의38%)</t>
    <phoneticPr fontId="3" type="noConversion"/>
  </si>
  <si>
    <t>잡유(주연료의18%)</t>
    <phoneticPr fontId="3" type="noConversion"/>
  </si>
  <si>
    <t>잡유(주연료의30%)</t>
    <phoneticPr fontId="3" type="noConversion"/>
  </si>
  <si>
    <t>잡유(주연료의16%)</t>
    <phoneticPr fontId="3" type="noConversion"/>
  </si>
  <si>
    <t>아스콘</t>
    <phoneticPr fontId="3" type="noConversion"/>
  </si>
  <si>
    <t>합성수지고무제품</t>
    <phoneticPr fontId="3" type="noConversion"/>
  </si>
  <si>
    <t>K.S 5mm×150mm</t>
    <phoneticPr fontId="3" type="noConversion"/>
  </si>
  <si>
    <t>K.S 5mm×230mm</t>
    <phoneticPr fontId="3" type="noConversion"/>
  </si>
  <si>
    <t>수팽창 고무지수판</t>
    <phoneticPr fontId="3" type="noConversion"/>
  </si>
  <si>
    <t>FS2010 20*7</t>
    <phoneticPr fontId="3" type="noConversion"/>
  </si>
  <si>
    <t>PVC파이프(일반관)</t>
    <phoneticPr fontId="3" type="noConversion"/>
  </si>
  <si>
    <r>
      <t>VG1 KS D25mm</t>
    </r>
    <r>
      <rPr>
        <b/>
        <sz val="11"/>
        <rFont val="돋움"/>
        <family val="3"/>
        <charset val="129"/>
      </rPr>
      <t/>
    </r>
    <phoneticPr fontId="3" type="noConversion"/>
  </si>
  <si>
    <r>
      <t>VG1 KS D50mm</t>
    </r>
    <r>
      <rPr>
        <b/>
        <sz val="11"/>
        <rFont val="돋움"/>
        <family val="3"/>
        <charset val="129"/>
      </rPr>
      <t/>
    </r>
    <phoneticPr fontId="3" type="noConversion"/>
  </si>
  <si>
    <t>신축이음재</t>
    <phoneticPr fontId="3" type="noConversion"/>
  </si>
  <si>
    <t>EXP.JOINT FILLER 9mm</t>
    <phoneticPr fontId="3" type="noConversion"/>
  </si>
  <si>
    <t>EXP.JOINT FILLER 12mm</t>
    <phoneticPr fontId="3" type="noConversion"/>
  </si>
  <si>
    <t>EXP.JOINT FILLER 20mm</t>
    <phoneticPr fontId="3" type="noConversion"/>
  </si>
  <si>
    <t>PRIMER</t>
    <phoneticPr fontId="3" type="noConversion"/>
  </si>
  <si>
    <t>시란트</t>
    <phoneticPr fontId="3" type="noConversion"/>
  </si>
  <si>
    <t>마스킹테입</t>
    <phoneticPr fontId="3" type="noConversion"/>
  </si>
  <si>
    <t>50mm(중)</t>
    <phoneticPr fontId="3" type="noConversion"/>
  </si>
  <si>
    <t>석션호스(PVC고압호스)</t>
    <phoneticPr fontId="3" type="noConversion"/>
  </si>
  <si>
    <t>고무 100mm×6m</t>
    <phoneticPr fontId="3" type="noConversion"/>
  </si>
  <si>
    <t>고무 150mm×6m</t>
    <phoneticPr fontId="3" type="noConversion"/>
  </si>
  <si>
    <t>고강도PE관(파상형)</t>
    <phoneticPr fontId="3" type="noConversion"/>
  </si>
  <si>
    <t>유공관 D200mm</t>
    <phoneticPr fontId="3" type="noConversion"/>
  </si>
  <si>
    <t>D150mm</t>
    <phoneticPr fontId="3" type="noConversion"/>
  </si>
  <si>
    <t>D200mm</t>
    <phoneticPr fontId="3" type="noConversion"/>
  </si>
  <si>
    <t>흄관용 500mm</t>
    <phoneticPr fontId="3" type="noConversion"/>
  </si>
  <si>
    <t>흄관용 600mm</t>
    <phoneticPr fontId="3" type="noConversion"/>
  </si>
  <si>
    <t>흄관용 800mm</t>
    <phoneticPr fontId="3" type="noConversion"/>
  </si>
  <si>
    <t>흄관용 1000mm</t>
    <phoneticPr fontId="3" type="noConversion"/>
  </si>
  <si>
    <t>아스팔트 루핑</t>
    <phoneticPr fontId="3" type="noConversion"/>
  </si>
  <si>
    <t>KSF 25kg×21m</t>
    <phoneticPr fontId="3" type="noConversion"/>
  </si>
  <si>
    <t>㎡</t>
    <phoneticPr fontId="3" type="noConversion"/>
  </si>
  <si>
    <t>200mm</t>
    <phoneticPr fontId="3" type="noConversion"/>
  </si>
  <si>
    <t>400mm</t>
    <phoneticPr fontId="3" type="noConversion"/>
  </si>
  <si>
    <t>500mm</t>
    <phoneticPr fontId="3" type="noConversion"/>
  </si>
  <si>
    <t>t=1.6mm</t>
    <phoneticPr fontId="3" type="noConversion"/>
  </si>
  <si>
    <t>t=3.2mm</t>
    <phoneticPr fontId="3" type="noConversion"/>
  </si>
  <si>
    <t>t=4.5mm</t>
    <phoneticPr fontId="3" type="noConversion"/>
  </si>
  <si>
    <t>t=6.0mm</t>
    <phoneticPr fontId="3" type="noConversion"/>
  </si>
  <si>
    <t>t=9.0mm</t>
    <phoneticPr fontId="3" type="noConversion"/>
  </si>
  <si>
    <t>보통철선</t>
    <phoneticPr fontId="3" type="noConversion"/>
  </si>
  <si>
    <t xml:space="preserve">＃20 D=0.9mm 결속선 </t>
    <phoneticPr fontId="3" type="noConversion"/>
  </si>
  <si>
    <t>＃8 D=4.0mm</t>
    <phoneticPr fontId="3" type="noConversion"/>
  </si>
  <si>
    <t>철선(1종)</t>
    <phoneticPr fontId="3" type="noConversion"/>
  </si>
  <si>
    <t>아연도 ＃8 D=4.0mm</t>
    <phoneticPr fontId="3" type="noConversion"/>
  </si>
  <si>
    <t>봉강</t>
    <phoneticPr fontId="3" type="noConversion"/>
  </si>
  <si>
    <t>D=9mm - 45mm</t>
    <phoneticPr fontId="3" type="noConversion"/>
  </si>
  <si>
    <t>t=6mm  B=15~50mm</t>
    <phoneticPr fontId="3" type="noConversion"/>
  </si>
  <si>
    <t>STEEL PANNEL</t>
    <phoneticPr fontId="3" type="noConversion"/>
  </si>
  <si>
    <t>600mm×1200mm(EURO FORM)</t>
    <phoneticPr fontId="3" type="noConversion"/>
  </si>
  <si>
    <t>내부코너  PANNEL</t>
    <phoneticPr fontId="3" type="noConversion"/>
  </si>
  <si>
    <t>(200+200)×1200(0.48㎡)</t>
    <phoneticPr fontId="3" type="noConversion"/>
  </si>
  <si>
    <t>WEDGE PIN</t>
    <phoneticPr fontId="3" type="noConversion"/>
  </si>
  <si>
    <t>90mm</t>
    <phoneticPr fontId="3" type="noConversion"/>
  </si>
  <si>
    <t>FLAT TIE</t>
    <phoneticPr fontId="3" type="noConversion"/>
  </si>
  <si>
    <t>L=200mm</t>
    <phoneticPr fontId="3" type="noConversion"/>
  </si>
  <si>
    <t>HOOK CLAMP</t>
    <phoneticPr fontId="3" type="noConversion"/>
  </si>
  <si>
    <t>PIPE HOOK</t>
    <phoneticPr fontId="3" type="noConversion"/>
  </si>
  <si>
    <t>원형철근</t>
    <phoneticPr fontId="3" type="noConversion"/>
  </si>
  <si>
    <t>D9~D25</t>
    <phoneticPr fontId="3" type="noConversion"/>
  </si>
  <si>
    <t>ㄱ형강(등변)</t>
    <phoneticPr fontId="3" type="noConversion"/>
  </si>
  <si>
    <t>t=10mm×100mm이하</t>
    <phoneticPr fontId="3" type="noConversion"/>
  </si>
  <si>
    <t>ㄷ형강</t>
    <phoneticPr fontId="3" type="noConversion"/>
  </si>
  <si>
    <t>75×40×5mm×6-10m</t>
    <phoneticPr fontId="3" type="noConversion"/>
  </si>
  <si>
    <t>150×75×6.5mm×6-10m</t>
    <phoneticPr fontId="3" type="noConversion"/>
  </si>
  <si>
    <t>200×80×7.5mm×6-10m</t>
    <phoneticPr fontId="3" type="noConversion"/>
  </si>
  <si>
    <t>t=1.4mm D=39mm</t>
    <phoneticPr fontId="3" type="noConversion"/>
  </si>
  <si>
    <t>t=1.4mm D=51mm</t>
    <phoneticPr fontId="3" type="noConversion"/>
  </si>
  <si>
    <t>강관동바리</t>
    <phoneticPr fontId="3" type="noConversion"/>
  </si>
  <si>
    <t>KSF8001(2.7mm×4.2m) 16.9kg</t>
    <phoneticPr fontId="3" type="noConversion"/>
  </si>
  <si>
    <t xml:space="preserve">빗트 </t>
    <phoneticPr fontId="3" type="noConversion"/>
  </si>
  <si>
    <t>COPCO(1600×39mm)</t>
    <phoneticPr fontId="3" type="noConversion"/>
  </si>
  <si>
    <t>＃6, 100×100</t>
    <phoneticPr fontId="3" type="noConversion"/>
  </si>
  <si>
    <t>＃6, 150×150</t>
    <phoneticPr fontId="3" type="noConversion"/>
  </si>
  <si>
    <t>＃8, 100×100</t>
    <phoneticPr fontId="3" type="noConversion"/>
  </si>
  <si>
    <t>＃8, 150×150</t>
    <phoneticPr fontId="3" type="noConversion"/>
  </si>
  <si>
    <t>꺽쇠</t>
    <phoneticPr fontId="3" type="noConversion"/>
  </si>
  <si>
    <t>D=9 L=150mm</t>
    <phoneticPr fontId="3" type="noConversion"/>
  </si>
  <si>
    <t>스루스게이트</t>
    <phoneticPr fontId="3" type="noConversion"/>
  </si>
  <si>
    <t>SL-11</t>
    <phoneticPr fontId="3" type="noConversion"/>
  </si>
  <si>
    <t>스루스게이트(후렌지관)</t>
    <phoneticPr fontId="3" type="noConversion"/>
  </si>
  <si>
    <t>11호형</t>
    <phoneticPr fontId="3" type="noConversion"/>
  </si>
  <si>
    <t>권양기용 스핀들</t>
    <phoneticPr fontId="3" type="noConversion"/>
  </si>
  <si>
    <t>32D</t>
    <phoneticPr fontId="3" type="noConversion"/>
  </si>
  <si>
    <t>1-2호형(D32mm×500kg)</t>
    <phoneticPr fontId="3" type="noConversion"/>
  </si>
  <si>
    <t>취부금구(스핀들용)</t>
    <phoneticPr fontId="3" type="noConversion"/>
  </si>
  <si>
    <t>1-1호형(0.4m×0.4m)</t>
    <phoneticPr fontId="3" type="noConversion"/>
  </si>
  <si>
    <t>1-2호형(0.55m×0.55m)</t>
    <phoneticPr fontId="3" type="noConversion"/>
  </si>
  <si>
    <t>강관(비계용)</t>
    <phoneticPr fontId="3" type="noConversion"/>
  </si>
  <si>
    <t>48.6mm×2.4m</t>
    <phoneticPr fontId="3" type="noConversion"/>
  </si>
  <si>
    <t>이음철물(비계용)</t>
    <phoneticPr fontId="3" type="noConversion"/>
  </si>
  <si>
    <t>연결핀(강관비계 48.6mm용)</t>
    <phoneticPr fontId="3" type="noConversion"/>
  </si>
  <si>
    <t xml:space="preserve">조임철물(비계용) </t>
    <phoneticPr fontId="3" type="noConversion"/>
  </si>
  <si>
    <t>직교크램프</t>
    <phoneticPr fontId="3" type="noConversion"/>
  </si>
  <si>
    <t>받침철물(비계용)</t>
    <phoneticPr fontId="3" type="noConversion"/>
  </si>
  <si>
    <t>받침판</t>
    <phoneticPr fontId="3" type="noConversion"/>
  </si>
  <si>
    <t>철물(비계용)</t>
    <phoneticPr fontId="3" type="noConversion"/>
  </si>
  <si>
    <t>앙카용</t>
    <phoneticPr fontId="3" type="noConversion"/>
  </si>
  <si>
    <t>조</t>
    <phoneticPr fontId="3" type="noConversion"/>
  </si>
  <si>
    <t>BASS CHANNEL</t>
    <phoneticPr fontId="3" type="noConversion"/>
  </si>
  <si>
    <t>t=2.0mm 이상</t>
    <phoneticPr fontId="3" type="noConversion"/>
  </si>
  <si>
    <t>TOP CHANNEL</t>
    <phoneticPr fontId="3" type="noConversion"/>
  </si>
  <si>
    <t>외부 PANEL(벽)</t>
    <phoneticPr fontId="3" type="noConversion"/>
  </si>
  <si>
    <t>1200×2400mm</t>
    <phoneticPr fontId="3" type="noConversion"/>
  </si>
  <si>
    <t>외부 PANEL(창문)</t>
    <phoneticPr fontId="3" type="noConversion"/>
  </si>
  <si>
    <t>외부 PANEL(철재문)</t>
    <phoneticPr fontId="3" type="noConversion"/>
  </si>
  <si>
    <t>내부 PANEL(벽)</t>
    <phoneticPr fontId="3" type="noConversion"/>
  </si>
  <si>
    <t>PANEL JOINT (AL-BAR)</t>
    <phoneticPr fontId="3" type="noConversion"/>
  </si>
  <si>
    <t>L=2400mm</t>
    <phoneticPr fontId="3" type="noConversion"/>
  </si>
  <si>
    <t>CANOPY(출입구채양)</t>
    <phoneticPr fontId="3" type="noConversion"/>
  </si>
  <si>
    <t>600*1200</t>
    <phoneticPr fontId="3" type="noConversion"/>
  </si>
  <si>
    <t>박공 PANEL</t>
    <phoneticPr fontId="3" type="noConversion"/>
  </si>
  <si>
    <t>L=7200mm</t>
    <phoneticPr fontId="3" type="noConversion"/>
  </si>
  <si>
    <t>ROOF SHEET</t>
    <phoneticPr fontId="3" type="noConversion"/>
  </si>
  <si>
    <t>0.5mm COLOR SHEET</t>
    <phoneticPr fontId="3" type="noConversion"/>
  </si>
  <si>
    <t>TRUSS</t>
    <phoneticPr fontId="3" type="noConversion"/>
  </si>
  <si>
    <t>L=7.2m</t>
    <phoneticPr fontId="3" type="noConversion"/>
  </si>
  <si>
    <t>중도리(PURIN)</t>
    <phoneticPr fontId="3" type="noConversion"/>
  </si>
  <si>
    <t>t=2.0m 이상</t>
    <phoneticPr fontId="3" type="noConversion"/>
  </si>
  <si>
    <t>T-BAR</t>
    <phoneticPr fontId="3" type="noConversion"/>
  </si>
  <si>
    <t>동지수판</t>
    <phoneticPr fontId="3" type="noConversion"/>
  </si>
  <si>
    <t>D=320-400mm, t=3.2mm</t>
    <phoneticPr fontId="3" type="noConversion"/>
  </si>
  <si>
    <t>빗트 D=65mm</t>
    <phoneticPr fontId="3" type="noConversion"/>
  </si>
  <si>
    <t>크로라드릴</t>
    <phoneticPr fontId="3" type="noConversion"/>
  </si>
  <si>
    <t>N 50</t>
    <phoneticPr fontId="3" type="noConversion"/>
  </si>
  <si>
    <t>철재 후레쉬도아</t>
    <phoneticPr fontId="3" type="noConversion"/>
  </si>
  <si>
    <t>진카드, 후레임1.6 양면1.0mm</t>
    <phoneticPr fontId="3" type="noConversion"/>
  </si>
  <si>
    <t>창레일</t>
    <phoneticPr fontId="3" type="noConversion"/>
  </si>
  <si>
    <t>6.4*7.6mm</t>
    <phoneticPr fontId="3" type="noConversion"/>
  </si>
  <si>
    <t>황동레일</t>
    <phoneticPr fontId="3" type="noConversion"/>
  </si>
  <si>
    <t>압출 180cm</t>
    <phoneticPr fontId="3" type="noConversion"/>
  </si>
  <si>
    <t>호차</t>
    <phoneticPr fontId="3" type="noConversion"/>
  </si>
  <si>
    <t>베아링입 36mm</t>
    <phoneticPr fontId="3" type="noConversion"/>
  </si>
  <si>
    <t>전기용접봉</t>
    <phoneticPr fontId="3" type="noConversion"/>
  </si>
  <si>
    <t>문비설치(1-1호형0.4m*0.4m)</t>
    <phoneticPr fontId="3" type="noConversion"/>
  </si>
  <si>
    <t>1조</t>
    <phoneticPr fontId="3" type="noConversion"/>
  </si>
  <si>
    <t>1-1호형</t>
    <phoneticPr fontId="3" type="noConversion"/>
  </si>
  <si>
    <t>운반설치비</t>
    <phoneticPr fontId="3" type="noConversion"/>
  </si>
  <si>
    <t>조</t>
    <phoneticPr fontId="3" type="noConversion"/>
  </si>
  <si>
    <t>권양기설치(신형 1-1호형)</t>
    <phoneticPr fontId="3" type="noConversion"/>
  </si>
  <si>
    <t>권양기</t>
    <phoneticPr fontId="3" type="noConversion"/>
  </si>
  <si>
    <t>신형 1-1호형</t>
    <phoneticPr fontId="3" type="noConversion"/>
  </si>
  <si>
    <t>KSE4301 4.0D</t>
    <phoneticPr fontId="3" type="noConversion"/>
  </si>
  <si>
    <t>황동</t>
    <phoneticPr fontId="3" type="noConversion"/>
  </si>
  <si>
    <t>구조용 스텐레스강관</t>
    <phoneticPr fontId="3" type="noConversion"/>
  </si>
  <si>
    <t>D25.4×1.5mm</t>
    <phoneticPr fontId="3" type="noConversion"/>
  </si>
  <si>
    <t>D31.8×1.5mm</t>
    <phoneticPr fontId="3" type="noConversion"/>
  </si>
  <si>
    <t>D38.1×1.5mm</t>
    <phoneticPr fontId="3" type="noConversion"/>
  </si>
  <si>
    <t>D50.8×2.0mm</t>
    <phoneticPr fontId="3" type="noConversion"/>
  </si>
  <si>
    <t>스텐레스 철판</t>
    <phoneticPr fontId="3" type="noConversion"/>
  </si>
  <si>
    <t>t=1.0mm</t>
    <phoneticPr fontId="3" type="noConversion"/>
  </si>
  <si>
    <t>스텐레스 고철</t>
    <phoneticPr fontId="3" type="noConversion"/>
  </si>
  <si>
    <t>27종</t>
    <phoneticPr fontId="3" type="noConversion"/>
  </si>
  <si>
    <t>스텐레스 볼트넛트와샤</t>
    <phoneticPr fontId="3" type="noConversion"/>
  </si>
  <si>
    <t>12mm×150mm</t>
    <phoneticPr fontId="3" type="noConversion"/>
  </si>
  <si>
    <t>16mm×150mm</t>
    <phoneticPr fontId="3" type="noConversion"/>
  </si>
  <si>
    <t>강관(아연도)</t>
    <phoneticPr fontId="3" type="noConversion"/>
  </si>
  <si>
    <t>KS 100D</t>
    <phoneticPr fontId="3" type="noConversion"/>
  </si>
  <si>
    <t>철근(SD30A)</t>
    <phoneticPr fontId="3" type="noConversion"/>
  </si>
  <si>
    <t>D10mm</t>
    <phoneticPr fontId="3" type="noConversion"/>
  </si>
  <si>
    <t>D13mm</t>
    <phoneticPr fontId="3" type="noConversion"/>
  </si>
  <si>
    <t>D16mm∼D32mm</t>
    <phoneticPr fontId="3" type="noConversion"/>
  </si>
  <si>
    <t>40kg</t>
    <phoneticPr fontId="3" type="noConversion"/>
  </si>
  <si>
    <t xml:space="preserve">레미콘 </t>
    <phoneticPr fontId="3" type="noConversion"/>
  </si>
  <si>
    <t>흄관(소켓관)</t>
    <phoneticPr fontId="3" type="noConversion"/>
  </si>
  <si>
    <t>D = 0.30</t>
    <phoneticPr fontId="3" type="noConversion"/>
  </si>
  <si>
    <t>D = 0.40</t>
    <phoneticPr fontId="3" type="noConversion"/>
  </si>
  <si>
    <t>D = 0.50</t>
    <phoneticPr fontId="3" type="noConversion"/>
  </si>
  <si>
    <t>D = 0.60</t>
    <phoneticPr fontId="3" type="noConversion"/>
  </si>
  <si>
    <t>D = 0.70</t>
    <phoneticPr fontId="3" type="noConversion"/>
  </si>
  <si>
    <t>D = 0.80</t>
    <phoneticPr fontId="3" type="noConversion"/>
  </si>
  <si>
    <t>D = 0.90</t>
    <phoneticPr fontId="3" type="noConversion"/>
  </si>
  <si>
    <t>D = 1.00</t>
    <phoneticPr fontId="3" type="noConversion"/>
  </si>
  <si>
    <t>D = 1.20</t>
    <phoneticPr fontId="3" type="noConversion"/>
  </si>
  <si>
    <t>수로관(일반)</t>
    <phoneticPr fontId="3" type="noConversion"/>
  </si>
  <si>
    <t>400×400(400C)</t>
    <phoneticPr fontId="3" type="noConversion"/>
  </si>
  <si>
    <t>500×450(500B)</t>
    <phoneticPr fontId="3" type="noConversion"/>
  </si>
  <si>
    <t>500×500(500C)</t>
    <phoneticPr fontId="3" type="noConversion"/>
  </si>
  <si>
    <t>600×500(600B)</t>
    <phoneticPr fontId="3" type="noConversion"/>
  </si>
  <si>
    <t>600×600(600C)</t>
    <phoneticPr fontId="3" type="noConversion"/>
  </si>
  <si>
    <t>1㎡</t>
    <phoneticPr fontId="3" type="noConversion"/>
  </si>
  <si>
    <t>보통시멘트</t>
    <phoneticPr fontId="3" type="noConversion"/>
  </si>
  <si>
    <t>40kg/대</t>
    <phoneticPr fontId="3" type="noConversion"/>
  </si>
  <si>
    <t>시멘트운반비</t>
    <phoneticPr fontId="3" type="noConversion"/>
  </si>
  <si>
    <t>하수관천공기</t>
    <phoneticPr fontId="3" type="noConversion"/>
  </si>
  <si>
    <t>수동식</t>
    <phoneticPr fontId="3" type="noConversion"/>
  </si>
  <si>
    <t xml:space="preserve"> 콘크리트 펌푸차  21m  65-75㎥/H</t>
    <phoneticPr fontId="3" type="noConversion"/>
  </si>
  <si>
    <t>대</t>
    <phoneticPr fontId="3" type="noConversion"/>
  </si>
  <si>
    <t>종    별</t>
    <phoneticPr fontId="3" type="noConversion"/>
  </si>
  <si>
    <t>원  수</t>
    <phoneticPr fontId="3" type="noConversion"/>
  </si>
  <si>
    <t>단</t>
    <phoneticPr fontId="3" type="noConversion"/>
  </si>
  <si>
    <t>위</t>
    <phoneticPr fontId="3" type="noConversion"/>
  </si>
  <si>
    <t>터파기</t>
    <phoneticPr fontId="3" type="noConversion"/>
  </si>
  <si>
    <t>다짐</t>
    <phoneticPr fontId="3" type="noConversion"/>
  </si>
  <si>
    <t>뒷채움</t>
    <phoneticPr fontId="3" type="noConversion"/>
  </si>
  <si>
    <t>운반</t>
    <phoneticPr fontId="3" type="noConversion"/>
  </si>
  <si>
    <t>1*1.4</t>
    <phoneticPr fontId="3" type="noConversion"/>
  </si>
  <si>
    <t>%</t>
    <phoneticPr fontId="3" type="noConversion"/>
  </si>
  <si>
    <t>브레이카 철근 대형브레이카  0.7</t>
    <phoneticPr fontId="3" type="noConversion"/>
  </si>
  <si>
    <t>1 ㎡</t>
    <phoneticPr fontId="3" type="noConversion"/>
  </si>
  <si>
    <t>레미콘</t>
    <phoneticPr fontId="3" type="noConversion"/>
  </si>
  <si>
    <t>기계성토다짐</t>
    <phoneticPr fontId="3" type="noConversion"/>
  </si>
  <si>
    <t>유로폼조립해체</t>
    <phoneticPr fontId="3" type="noConversion"/>
  </si>
  <si>
    <t>계</t>
    <phoneticPr fontId="3" type="noConversion"/>
  </si>
  <si>
    <t>적용단가</t>
    <phoneticPr fontId="3" type="noConversion"/>
  </si>
  <si>
    <t>인</t>
    <phoneticPr fontId="3" type="noConversion"/>
  </si>
  <si>
    <t>인력품의3%</t>
    <phoneticPr fontId="3" type="noConversion"/>
  </si>
  <si>
    <t>1/10</t>
    <phoneticPr fontId="3" type="noConversion"/>
  </si>
  <si>
    <t>유로폼 재료비</t>
    <phoneticPr fontId="3" type="noConversion"/>
  </si>
  <si>
    <t>STEEL PANEL</t>
    <phoneticPr fontId="3" type="noConversion"/>
  </si>
  <si>
    <t>내부코너판넬</t>
    <phoneticPr fontId="3" type="noConversion"/>
  </si>
  <si>
    <t>Wedge Pin</t>
    <phoneticPr fontId="3" type="noConversion"/>
  </si>
  <si>
    <t>HOOK CLAMP</t>
    <phoneticPr fontId="3" type="noConversion"/>
  </si>
  <si>
    <t>저유황중유</t>
    <phoneticPr fontId="3" type="noConversion"/>
  </si>
  <si>
    <t>잡자재</t>
    <phoneticPr fontId="3" type="noConversion"/>
  </si>
  <si>
    <t>재료비의5%</t>
    <phoneticPr fontId="3" type="noConversion"/>
  </si>
  <si>
    <t>(200+200)*1200(0.48㎡)</t>
    <phoneticPr fontId="3" type="noConversion"/>
  </si>
  <si>
    <t>L=200</t>
    <phoneticPr fontId="3" type="noConversion"/>
  </si>
  <si>
    <t>48.6mm*2.4</t>
    <phoneticPr fontId="3" type="noConversion"/>
  </si>
  <si>
    <t>박리제</t>
    <phoneticPr fontId="3" type="noConversion"/>
  </si>
  <si>
    <t>매</t>
    <phoneticPr fontId="3" type="noConversion"/>
  </si>
  <si>
    <t>개</t>
    <phoneticPr fontId="3" type="noConversion"/>
  </si>
  <si>
    <t>ℓ</t>
    <phoneticPr fontId="3" type="noConversion"/>
  </si>
  <si>
    <t>유로폼 조립해체</t>
    <phoneticPr fontId="3" type="noConversion"/>
  </si>
  <si>
    <t xml:space="preserve">유로폼(벽) </t>
    <phoneticPr fontId="3" type="noConversion"/>
  </si>
  <si>
    <t>유로폼재료비</t>
    <phoneticPr fontId="3" type="noConversion"/>
  </si>
  <si>
    <t>ton당운반비</t>
    <phoneticPr fontId="3" type="noConversion"/>
  </si>
  <si>
    <t>인부</t>
    <phoneticPr fontId="3" type="noConversion"/>
  </si>
  <si>
    <t>와이어매쉬</t>
    <phoneticPr fontId="3" type="noConversion"/>
  </si>
  <si>
    <t>#6 150×150</t>
    <phoneticPr fontId="3" type="noConversion"/>
  </si>
  <si>
    <t>결속선</t>
    <phoneticPr fontId="3" type="noConversion"/>
  </si>
  <si>
    <t>#20</t>
    <phoneticPr fontId="3" type="noConversion"/>
  </si>
  <si>
    <t>L</t>
    <phoneticPr fontId="3" type="noConversion"/>
  </si>
  <si>
    <t>PE관</t>
    <phoneticPr fontId="3" type="noConversion"/>
  </si>
  <si>
    <t>부설접합</t>
    <phoneticPr fontId="3" type="noConversion"/>
  </si>
  <si>
    <t>D=300</t>
    <phoneticPr fontId="3" type="noConversion"/>
  </si>
  <si>
    <t>PVC pipe</t>
    <phoneticPr fontId="3" type="noConversion"/>
  </si>
  <si>
    <t>700×600 (700B)</t>
    <phoneticPr fontId="3" type="noConversion"/>
  </si>
  <si>
    <t>800×700(800B)</t>
    <phoneticPr fontId="3" type="noConversion"/>
  </si>
  <si>
    <t>900×800(900B)</t>
    <phoneticPr fontId="3" type="noConversion"/>
  </si>
  <si>
    <t>1000×800(1000A)</t>
    <phoneticPr fontId="3" type="noConversion"/>
  </si>
  <si>
    <t>1000×1000(1000C)</t>
    <phoneticPr fontId="3" type="noConversion"/>
  </si>
  <si>
    <t>골재</t>
    <phoneticPr fontId="3" type="noConversion"/>
  </si>
  <si>
    <t>D25mm 이하</t>
    <phoneticPr fontId="3" type="noConversion"/>
  </si>
  <si>
    <t>D40mm 이하</t>
    <phoneticPr fontId="3" type="noConversion"/>
  </si>
  <si>
    <t>D50mm 이하</t>
    <phoneticPr fontId="3" type="noConversion"/>
  </si>
  <si>
    <t>D75mm 이하</t>
    <phoneticPr fontId="3" type="noConversion"/>
  </si>
  <si>
    <t>조약돌</t>
    <phoneticPr fontId="3" type="noConversion"/>
  </si>
  <si>
    <t>기타</t>
    <phoneticPr fontId="3" type="noConversion"/>
  </si>
  <si>
    <t>0.3×0.3×0.03</t>
    <phoneticPr fontId="3" type="noConversion"/>
  </si>
  <si>
    <t>바퀴숫돌</t>
    <phoneticPr fontId="3" type="noConversion"/>
  </si>
  <si>
    <t>평반연마지석 150×25</t>
    <phoneticPr fontId="3" type="noConversion"/>
  </si>
  <si>
    <t>마대</t>
    <phoneticPr fontId="3" type="noConversion"/>
  </si>
  <si>
    <t>수방자재용(900×10×10)</t>
    <phoneticPr fontId="3" type="noConversion"/>
  </si>
  <si>
    <t>넝마(모직물)</t>
    <phoneticPr fontId="3" type="noConversion"/>
  </si>
  <si>
    <t>면 100%</t>
    <phoneticPr fontId="3" type="noConversion"/>
  </si>
  <si>
    <t>7ton</t>
    <phoneticPr fontId="3" type="noConversion"/>
  </si>
  <si>
    <t>19ton</t>
    <phoneticPr fontId="3" type="noConversion"/>
  </si>
  <si>
    <t>3.5hp D45(엔진식)</t>
    <phoneticPr fontId="3" type="noConversion"/>
  </si>
  <si>
    <t>1ton</t>
    <phoneticPr fontId="3" type="noConversion"/>
  </si>
  <si>
    <t>200amp</t>
    <phoneticPr fontId="3" type="noConversion"/>
  </si>
  <si>
    <t>디젤엔진 5hp*80mm</t>
    <phoneticPr fontId="3" type="noConversion"/>
  </si>
  <si>
    <t>운전수</t>
    <phoneticPr fontId="3" type="noConversion"/>
  </si>
  <si>
    <t>잡유(주연료의23%)</t>
    <phoneticPr fontId="3" type="noConversion"/>
  </si>
  <si>
    <t>잡유(주연료의16%)</t>
    <phoneticPr fontId="3" type="noConversion"/>
  </si>
  <si>
    <t>잡유(주연료의22%)</t>
    <phoneticPr fontId="3" type="noConversion"/>
  </si>
  <si>
    <t>회</t>
  </si>
  <si>
    <t xml:space="preserve">cms = </t>
    <phoneticPr fontId="3" type="noConversion"/>
  </si>
  <si>
    <t>종별</t>
    <phoneticPr fontId="3" type="noConversion"/>
  </si>
  <si>
    <t>재       료</t>
    <phoneticPr fontId="3" type="noConversion"/>
  </si>
  <si>
    <t>원수</t>
    <phoneticPr fontId="3" type="noConversion"/>
  </si>
  <si>
    <t>양회</t>
    <phoneticPr fontId="3" type="noConversion"/>
  </si>
  <si>
    <t>구역화물</t>
    <phoneticPr fontId="3" type="noConversion"/>
  </si>
  <si>
    <t>소운반</t>
    <phoneticPr fontId="3" type="noConversion"/>
  </si>
  <si>
    <t>싣고부리기</t>
    <phoneticPr fontId="3" type="noConversion"/>
  </si>
  <si>
    <t>철근</t>
    <phoneticPr fontId="3" type="noConversion"/>
  </si>
  <si>
    <t>목재</t>
    <phoneticPr fontId="3" type="noConversion"/>
  </si>
  <si>
    <t>모래</t>
    <phoneticPr fontId="3" type="noConversion"/>
  </si>
  <si>
    <t>운반</t>
    <phoneticPr fontId="3" type="noConversion"/>
  </si>
  <si>
    <t>덤프 15ton</t>
    <phoneticPr fontId="3" type="noConversion"/>
  </si>
  <si>
    <t xml:space="preserve">자갈 </t>
    <phoneticPr fontId="3" type="noConversion"/>
  </si>
  <si>
    <t>보통인부</t>
    <phoneticPr fontId="3" type="noConversion"/>
  </si>
  <si>
    <t>인</t>
    <phoneticPr fontId="3" type="noConversion"/>
  </si>
  <si>
    <t>0.7㎥(습지) 무한궤도</t>
    <phoneticPr fontId="3" type="noConversion"/>
  </si>
  <si>
    <t>0.7㎥(브레이카) 무한궤도</t>
    <phoneticPr fontId="3" type="noConversion"/>
  </si>
  <si>
    <t xml:space="preserve">      15 ton</t>
  </si>
  <si>
    <t xml:space="preserve">   트레일러</t>
  </si>
  <si>
    <t xml:space="preserve">        20 ton</t>
  </si>
  <si>
    <t xml:space="preserve">    크레인 </t>
  </si>
  <si>
    <t xml:space="preserve">    10ton 무한궤도 </t>
  </si>
  <si>
    <t xml:space="preserve">    20ton 무한궤도 </t>
  </si>
  <si>
    <t xml:space="preserve"> 콘크리트 믹서 </t>
  </si>
  <si>
    <t xml:space="preserve">       0.45㎥</t>
  </si>
  <si>
    <t>재료또는</t>
  </si>
  <si>
    <t>노   무   비</t>
  </si>
  <si>
    <t>재   료   비</t>
  </si>
  <si>
    <t>치    수</t>
  </si>
  <si>
    <t>금    액</t>
  </si>
  <si>
    <t>1 ton</t>
  </si>
  <si>
    <t>하차입고</t>
  </si>
  <si>
    <t>1 ㎥</t>
  </si>
  <si>
    <t>원석대</t>
  </si>
  <si>
    <t>바이브레타</t>
  </si>
  <si>
    <t>진동기</t>
  </si>
  <si>
    <t>1 m</t>
  </si>
  <si>
    <t>호 표</t>
  </si>
  <si>
    <t>공          종           명</t>
  </si>
  <si>
    <t>원  수</t>
  </si>
  <si>
    <t>t = 13 분</t>
  </si>
  <si>
    <t>f = 1.0</t>
  </si>
  <si>
    <t>L = 1.0</t>
  </si>
  <si>
    <t>15.0 ton</t>
  </si>
  <si>
    <t>t3 = T / 40 * 0.82 * 1 / 5 = 43.05</t>
  </si>
  <si>
    <t>조합페인트신너</t>
  </si>
  <si>
    <t>브라운 아스팔트</t>
  </si>
  <si>
    <t xml:space="preserve">덤   프 </t>
  </si>
  <si>
    <t>L = 1</t>
  </si>
  <si>
    <t>15 ton</t>
  </si>
  <si>
    <t>rt = 1,000 kg</t>
  </si>
  <si>
    <t>q = 1,000 * L / rt = 1</t>
  </si>
  <si>
    <t>개</t>
    <phoneticPr fontId="3" type="noConversion"/>
  </si>
  <si>
    <t>q = t / 450 * 5 * 1 / Q</t>
  </si>
  <si>
    <t>운반거리</t>
  </si>
  <si>
    <t>적재차량</t>
  </si>
  <si>
    <t>적 재 량</t>
  </si>
  <si>
    <t>대당운임</t>
  </si>
  <si>
    <t>단위운임</t>
  </si>
  <si>
    <t>cm = ℓ/V1 + ℓ/V2 + 0.25 =</t>
  </si>
  <si>
    <t>Q = 60 * q * f * E /cm =</t>
  </si>
  <si>
    <t>백호</t>
  </si>
  <si>
    <t>f=(1/1.25)=</t>
  </si>
  <si>
    <t>k=</t>
  </si>
  <si>
    <t xml:space="preserve">cm = </t>
  </si>
  <si>
    <t>초</t>
  </si>
  <si>
    <t>Q = 3600 * q * k * f * E /cm =</t>
  </si>
  <si>
    <t>흙깍기(모래,사질토)</t>
  </si>
  <si>
    <t>흙깍기(풍화대)</t>
  </si>
  <si>
    <t>f=(1/1.17)=</t>
  </si>
  <si>
    <t>흙깍기(혼전석)</t>
  </si>
  <si>
    <t>f=(1/1.42)=</t>
  </si>
  <si>
    <t>표토제거(모래,사질토)</t>
  </si>
  <si>
    <t>터파기(모래,사질토,층따기)</t>
  </si>
  <si>
    <t>유용성토 적재 (토사)</t>
  </si>
  <si>
    <t>f=(0.9/1.25)=</t>
  </si>
  <si>
    <t>㎞</t>
  </si>
  <si>
    <t>Qt=T*L/rt=</t>
  </si>
  <si>
    <t>L=</t>
  </si>
  <si>
    <t>rt=</t>
  </si>
  <si>
    <t>㎏/㎥</t>
  </si>
  <si>
    <t>T=</t>
  </si>
  <si>
    <t>E(작업효율)=</t>
  </si>
  <si>
    <t>n=</t>
  </si>
  <si>
    <t>Qt/(q*k)=</t>
  </si>
  <si>
    <t>t1=cms*n/(60*Es)=</t>
  </si>
  <si>
    <t>t2=(ℓ/v1)+(ℓ/v2)*60=</t>
  </si>
  <si>
    <t>t3=</t>
  </si>
  <si>
    <t>t4=</t>
  </si>
  <si>
    <t>Q=60*Qt*E*f/cm=</t>
  </si>
  <si>
    <t>콤팩터 다짐</t>
  </si>
  <si>
    <t>콤팩터</t>
  </si>
  <si>
    <t>V(다짐속도)=</t>
  </si>
  <si>
    <t>W(로러유효폭)=</t>
  </si>
  <si>
    <t>D(재료의두께)=</t>
  </si>
  <si>
    <t>f(토량환산계수)=</t>
  </si>
  <si>
    <t>N(다짐회수)=</t>
  </si>
  <si>
    <t>람마다짐(토사)</t>
  </si>
  <si>
    <t>램머</t>
  </si>
  <si>
    <t>80㎏</t>
  </si>
  <si>
    <t>Q=A*N*H*F*E/P</t>
  </si>
  <si>
    <t>=0.0924*36000*0.15*1*0.50/57</t>
  </si>
  <si>
    <t>람마다짐(점토)</t>
  </si>
  <si>
    <t>=0.0924*36000*0.1*1*0.50/57</t>
  </si>
  <si>
    <t>종   별</t>
  </si>
  <si>
    <t>단   가</t>
  </si>
  <si>
    <t>콘크리트공</t>
  </si>
  <si>
    <t>콤팩트 다짐</t>
  </si>
  <si>
    <t>이음철물</t>
  </si>
  <si>
    <t>조임철물</t>
  </si>
  <si>
    <t>총        액</t>
  </si>
  <si>
    <t>경       비</t>
  </si>
  <si>
    <t>치     수</t>
  </si>
  <si>
    <t>금  액</t>
  </si>
  <si>
    <t>흙깎기</t>
  </si>
  <si>
    <t>작업반장</t>
  </si>
  <si>
    <t>착암공</t>
  </si>
  <si>
    <t>공기압축기</t>
  </si>
  <si>
    <t>hr</t>
  </si>
  <si>
    <t>호스</t>
  </si>
  <si>
    <t>19mm</t>
  </si>
  <si>
    <t>백호0.7㎥</t>
  </si>
  <si>
    <t>계</t>
    <phoneticPr fontId="3" type="noConversion"/>
  </si>
  <si>
    <t>혼합석</t>
  </si>
  <si>
    <t>블레이드</t>
  </si>
  <si>
    <t>D/M</t>
  </si>
  <si>
    <t>㎏</t>
  </si>
  <si>
    <t>경운기</t>
  </si>
  <si>
    <t>인부</t>
  </si>
  <si>
    <t>기초모래</t>
  </si>
  <si>
    <t>계</t>
  </si>
  <si>
    <t>잔토 사토장 고르기</t>
  </si>
  <si>
    <t>총          액</t>
  </si>
  <si>
    <t>경          비</t>
  </si>
  <si>
    <t>고르고 다짐</t>
  </si>
  <si>
    <t>q = 1.72 ton</t>
  </si>
  <si>
    <t>조합페인트</t>
  </si>
  <si>
    <t>신너</t>
  </si>
  <si>
    <t>퍼티</t>
  </si>
  <si>
    <t>연마지</t>
  </si>
  <si>
    <t>기구손료</t>
  </si>
  <si>
    <t>t3 = qo / 50 * 0.82 * 1 / 5 = 29.96 분</t>
  </si>
  <si>
    <t>◈ 목재 운반 경운기</t>
  </si>
  <si>
    <t>f = 1</t>
  </si>
  <si>
    <t>t = 11 분</t>
  </si>
  <si>
    <t>◈ 철재 하차입고</t>
  </si>
  <si>
    <t>t3 = T / 50 * 0.82 * 1 / 5 = 34.44</t>
  </si>
  <si>
    <t>강관동바리</t>
  </si>
  <si>
    <t>본</t>
    <phoneticPr fontId="3" type="noConversion"/>
  </si>
  <si>
    <t>ℓ</t>
  </si>
  <si>
    <t>PVC지수판</t>
  </si>
  <si>
    <t>f=(0.93/1.25)=</t>
  </si>
  <si>
    <t>BASS CHANNEL</t>
  </si>
  <si>
    <t>m</t>
    <phoneticPr fontId="3" type="noConversion"/>
  </si>
  <si>
    <t>운 전 원</t>
  </si>
  <si>
    <t>수   량</t>
  </si>
  <si>
    <t>1 ㎡</t>
  </si>
  <si>
    <t>선별 및 집석</t>
  </si>
  <si>
    <t>고르고다짐(양족식자주식로러)</t>
  </si>
  <si>
    <t>고르고다짐(95%)</t>
  </si>
  <si>
    <t>콤펙터 다짐</t>
  </si>
  <si>
    <t>줄떼</t>
  </si>
  <si>
    <t>11/3 * 1.1</t>
  </si>
  <si>
    <t>떼붙임</t>
  </si>
  <si>
    <t>평떼</t>
  </si>
  <si>
    <t>11 * 1.1</t>
  </si>
  <si>
    <t>꼬치</t>
  </si>
  <si>
    <t>판재</t>
  </si>
  <si>
    <t>각재</t>
  </si>
  <si>
    <t>합판</t>
  </si>
  <si>
    <t>3.2 mm</t>
  </si>
  <si>
    <t>철선</t>
  </si>
  <si>
    <t># 8</t>
  </si>
  <si>
    <t>N 50</t>
  </si>
  <si>
    <t>박리제</t>
  </si>
  <si>
    <t>중유</t>
  </si>
  <si>
    <t>형틀목공</t>
  </si>
  <si>
    <t>1 개</t>
  </si>
  <si>
    <t>말뚝</t>
  </si>
  <si>
    <t>D=6cm,  L=1.8m</t>
  </si>
  <si>
    <t>목공</t>
  </si>
  <si>
    <t>목재</t>
  </si>
  <si>
    <t>0.014 * 80%</t>
  </si>
  <si>
    <t>0.022 * 80%</t>
  </si>
  <si>
    <t>잡재료</t>
  </si>
  <si>
    <t>재료비의 5%</t>
  </si>
  <si>
    <t>비계공</t>
  </si>
  <si>
    <t xml:space="preserve">E = </t>
    <phoneticPr fontId="3" type="noConversion"/>
  </si>
  <si>
    <t>1.5 TON</t>
  </si>
  <si>
    <t>10 TON</t>
  </si>
  <si>
    <t>램    머</t>
  </si>
  <si>
    <t>80 ㎏</t>
  </si>
  <si>
    <t>그레이더</t>
  </si>
  <si>
    <t>원 수</t>
  </si>
  <si>
    <t>권양기(신형)</t>
  </si>
  <si>
    <t>/</t>
  </si>
  <si>
    <t>×</t>
  </si>
  <si>
    <t>적하시간</t>
  </si>
  <si>
    <t>적하인부</t>
  </si>
  <si>
    <t>단  위  당    경  비</t>
  </si>
  <si>
    <t>(ton)</t>
  </si>
  <si>
    <t>(인)</t>
  </si>
  <si>
    <t>손   료</t>
  </si>
  <si>
    <t>사용장비</t>
    <phoneticPr fontId="3" type="noConversion"/>
  </si>
  <si>
    <t>구역화물</t>
    <phoneticPr fontId="3" type="noConversion"/>
  </si>
  <si>
    <t>자재단가일람</t>
    <phoneticPr fontId="3" type="noConversion"/>
  </si>
  <si>
    <t>문비</t>
    <phoneticPr fontId="3" type="noConversion"/>
  </si>
  <si>
    <t>100-150mm용</t>
    <phoneticPr fontId="3" type="noConversion"/>
  </si>
  <si>
    <t>200-300mm용</t>
    <phoneticPr fontId="3" type="noConversion"/>
  </si>
  <si>
    <t>건 설 기 계 사 용 료</t>
    <phoneticPr fontId="3" type="noConversion"/>
  </si>
  <si>
    <t>공     종</t>
    <phoneticPr fontId="3" type="noConversion"/>
  </si>
  <si>
    <t>포장공</t>
    <phoneticPr fontId="3" type="noConversion"/>
  </si>
  <si>
    <t>배관공</t>
    <phoneticPr fontId="3" type="noConversion"/>
  </si>
  <si>
    <t>일반철재</t>
    <phoneticPr fontId="3" type="noConversion"/>
  </si>
  <si>
    <t>크레인</t>
    <phoneticPr fontId="3" type="noConversion"/>
  </si>
  <si>
    <t>10ton</t>
    <phoneticPr fontId="3" type="noConversion"/>
  </si>
  <si>
    <t xml:space="preserve"> f = 1.07 / 1.15 = </t>
  </si>
  <si>
    <t xml:space="preserve"> 인</t>
  </si>
  <si>
    <t>소형브레이카</t>
    <phoneticPr fontId="3" type="noConversion"/>
  </si>
  <si>
    <t>7.1㎥/min</t>
    <phoneticPr fontId="3" type="noConversion"/>
  </si>
  <si>
    <t>설치의 50%</t>
    <phoneticPr fontId="3" type="noConversion"/>
  </si>
  <si>
    <t>해체</t>
    <phoneticPr fontId="3" type="noConversion"/>
  </si>
  <si>
    <t>철근콘크리트수로관 해체 400C</t>
    <phoneticPr fontId="3" type="noConversion"/>
  </si>
  <si>
    <t>철근콘크리트수로관 해체(400*400)</t>
    <phoneticPr fontId="3" type="noConversion"/>
  </si>
  <si>
    <t>에어호스</t>
    <phoneticPr fontId="3" type="noConversion"/>
  </si>
  <si>
    <t>19mm</t>
    <phoneticPr fontId="3" type="noConversion"/>
  </si>
  <si>
    <t>25kg</t>
    <phoneticPr fontId="3" type="noConversion"/>
  </si>
  <si>
    <t>공구손료</t>
    <phoneticPr fontId="3" type="noConversion"/>
  </si>
  <si>
    <t xml:space="preserve">건설기계가격 </t>
    <phoneticPr fontId="3" type="noConversion"/>
  </si>
  <si>
    <t>공     종      명</t>
    <phoneticPr fontId="3" type="noConversion"/>
  </si>
  <si>
    <t>사용기계</t>
    <phoneticPr fontId="3" type="noConversion"/>
  </si>
  <si>
    <t>시간당작업량</t>
    <phoneticPr fontId="3" type="noConversion"/>
  </si>
  <si>
    <t>집석</t>
    <phoneticPr fontId="3" type="noConversion"/>
  </si>
  <si>
    <t>백호  0.7㎥</t>
    <phoneticPr fontId="3" type="noConversion"/>
  </si>
  <si>
    <t>잔토처리</t>
    <phoneticPr fontId="3" type="noConversion"/>
  </si>
  <si>
    <t>잔토처리 적재(암)</t>
    <phoneticPr fontId="3" type="noConversion"/>
  </si>
  <si>
    <t>잔토처리 운반(암)</t>
    <phoneticPr fontId="3" type="noConversion"/>
  </si>
  <si>
    <t>덤프  15ton</t>
    <phoneticPr fontId="3" type="noConversion"/>
  </si>
  <si>
    <t>유용성토적재(토사)</t>
    <phoneticPr fontId="3" type="noConversion"/>
  </si>
  <si>
    <t>종단유용(토사:ℓ=34m)</t>
    <phoneticPr fontId="3" type="noConversion"/>
  </si>
  <si>
    <t>종단유용(토사:ℓ=0.12km)</t>
    <phoneticPr fontId="3" type="noConversion"/>
  </si>
  <si>
    <t>종단유용(암:ℓ=34m)</t>
    <phoneticPr fontId="3" type="noConversion"/>
  </si>
  <si>
    <t xml:space="preserve">깍기 및 적재(토사) </t>
    <phoneticPr fontId="3" type="noConversion"/>
  </si>
  <si>
    <t>깍기 및 적재(점토)</t>
    <phoneticPr fontId="3" type="noConversion"/>
  </si>
  <si>
    <t>순성토운반(토사)</t>
    <phoneticPr fontId="3" type="noConversion"/>
  </si>
  <si>
    <t>순성토운반(점토)</t>
    <phoneticPr fontId="3" type="noConversion"/>
  </si>
  <si>
    <t>사토적재</t>
    <phoneticPr fontId="3" type="noConversion"/>
  </si>
  <si>
    <t>사토운반</t>
    <phoneticPr fontId="3" type="noConversion"/>
  </si>
  <si>
    <t>도로자갈부설</t>
    <phoneticPr fontId="3" type="noConversion"/>
  </si>
  <si>
    <t>도쟈  12ton</t>
    <phoneticPr fontId="3" type="noConversion"/>
  </si>
  <si>
    <t>다지기</t>
    <phoneticPr fontId="3" type="noConversion"/>
  </si>
  <si>
    <t>암파쇄 브레이카</t>
    <phoneticPr fontId="3" type="noConversion"/>
  </si>
  <si>
    <t>헐기브레이카(무근)</t>
    <phoneticPr fontId="3" type="noConversion"/>
  </si>
  <si>
    <t>헐기 브레이카(무근)</t>
    <phoneticPr fontId="3" type="noConversion"/>
  </si>
  <si>
    <t>수혜면적 :</t>
    <phoneticPr fontId="3" type="noConversion"/>
  </si>
  <si>
    <t>철근콘크리트수로관 부설(300*300)</t>
    <phoneticPr fontId="3" type="noConversion"/>
  </si>
  <si>
    <t>철근콘크리트수로관 300C</t>
    <phoneticPr fontId="3" type="noConversion"/>
  </si>
  <si>
    <t>300C</t>
    <phoneticPr fontId="3" type="noConversion"/>
  </si>
  <si>
    <t>300×300(300C)</t>
    <phoneticPr fontId="3" type="noConversion"/>
  </si>
  <si>
    <t>조립식구조물설치 300C (150~300kg)</t>
    <phoneticPr fontId="3" type="noConversion"/>
  </si>
  <si>
    <t>D200</t>
    <phoneticPr fontId="3" type="noConversion"/>
  </si>
  <si>
    <t>D200</t>
    <phoneticPr fontId="3" type="noConversion"/>
  </si>
  <si>
    <t>0.14 / 6</t>
    <phoneticPr fontId="3" type="noConversion"/>
  </si>
  <si>
    <t>0.23 / 6</t>
    <phoneticPr fontId="3" type="noConversion"/>
  </si>
  <si>
    <t>헐기 브레이카(철근)</t>
    <phoneticPr fontId="3" type="noConversion"/>
  </si>
  <si>
    <t>백호 0.7 ㎥</t>
    <phoneticPr fontId="3" type="noConversion"/>
  </si>
  <si>
    <t xml:space="preserve">k = </t>
    <phoneticPr fontId="3" type="noConversion"/>
  </si>
  <si>
    <t>초</t>
    <phoneticPr fontId="3" type="noConversion"/>
  </si>
  <si>
    <t xml:space="preserve">Q = 3600 * q * k * f * E / cm = </t>
    <phoneticPr fontId="3" type="noConversion"/>
  </si>
  <si>
    <t xml:space="preserve"> ㎥/hr</t>
    <phoneticPr fontId="3" type="noConversion"/>
  </si>
  <si>
    <t>V(다짐속도) =</t>
    <phoneticPr fontId="3" type="noConversion"/>
  </si>
  <si>
    <t xml:space="preserve">W(로울러 유효폭) = </t>
    <phoneticPr fontId="3" type="noConversion"/>
  </si>
  <si>
    <t xml:space="preserve">D(재료의 두께) = </t>
    <phoneticPr fontId="3" type="noConversion"/>
  </si>
  <si>
    <t xml:space="preserve">E(작업효율) = </t>
    <phoneticPr fontId="3" type="noConversion"/>
  </si>
  <si>
    <t xml:space="preserve">f  (토량환산 계수) = </t>
    <phoneticPr fontId="3" type="noConversion"/>
  </si>
  <si>
    <t xml:space="preserve">N(다짐 횟수)    = </t>
    <phoneticPr fontId="3" type="noConversion"/>
  </si>
  <si>
    <t xml:space="preserve">Q=1000 * V * W * D * E * f / N = </t>
    <phoneticPr fontId="3" type="noConversion"/>
  </si>
  <si>
    <t>0..1</t>
    <phoneticPr fontId="3" type="noConversion"/>
  </si>
  <si>
    <t>백호우 0.7 ㎥</t>
    <phoneticPr fontId="3" type="noConversion"/>
  </si>
  <si>
    <t xml:space="preserve">cm= </t>
    <phoneticPr fontId="3" type="noConversion"/>
  </si>
  <si>
    <t xml:space="preserve">작업량(q)= </t>
    <phoneticPr fontId="3" type="noConversion"/>
  </si>
  <si>
    <t>Q  =  q * 할증율   =</t>
    <phoneticPr fontId="3" type="noConversion"/>
  </si>
  <si>
    <t>◈Lean콘크리트 타설</t>
    <phoneticPr fontId="3" type="noConversion"/>
  </si>
  <si>
    <t>◈콘크리트 다짐(10㎥미만)</t>
    <phoneticPr fontId="3" type="noConversion"/>
  </si>
  <si>
    <t>바이브레이타 및 진동기</t>
    <phoneticPr fontId="3" type="noConversion"/>
  </si>
  <si>
    <t>◈콘크리트 다짐(10㎥이상)</t>
    <phoneticPr fontId="3" type="noConversion"/>
  </si>
  <si>
    <t>◈물운반</t>
    <phoneticPr fontId="3" type="noConversion"/>
  </si>
  <si>
    <t>종  별</t>
    <phoneticPr fontId="3" type="noConversion"/>
  </si>
  <si>
    <t>시속별 운반거리(Km)</t>
    <phoneticPr fontId="3" type="noConversion"/>
  </si>
  <si>
    <t>20Km/hr 환산 편도거리(km)</t>
    <phoneticPr fontId="3" type="noConversion"/>
  </si>
  <si>
    <t>비     고</t>
    <phoneticPr fontId="3" type="noConversion"/>
  </si>
  <si>
    <t>양회</t>
    <phoneticPr fontId="3" type="noConversion"/>
  </si>
  <si>
    <t>부여읍</t>
    <phoneticPr fontId="3" type="noConversion"/>
  </si>
  <si>
    <t>대전광역시</t>
    <phoneticPr fontId="3" type="noConversion"/>
  </si>
  <si>
    <t>모래</t>
    <phoneticPr fontId="3" type="noConversion"/>
  </si>
  <si>
    <t>부여읍 장암면</t>
    <phoneticPr fontId="3" type="noConversion"/>
  </si>
  <si>
    <t>부여읍 석성면 증산리</t>
    <phoneticPr fontId="3" type="noConversion"/>
  </si>
  <si>
    <t>사석</t>
    <phoneticPr fontId="3" type="noConversion"/>
  </si>
  <si>
    <t>잡석</t>
    <phoneticPr fontId="3" type="noConversion"/>
  </si>
  <si>
    <t>토취장</t>
    <phoneticPr fontId="3" type="noConversion"/>
  </si>
  <si>
    <t>부여읍 임천면 점리</t>
    <phoneticPr fontId="3" type="noConversion"/>
  </si>
  <si>
    <t>목재</t>
    <phoneticPr fontId="3" type="noConversion"/>
  </si>
  <si>
    <t>특수철재, 배관자재</t>
    <phoneticPr fontId="3" type="noConversion"/>
  </si>
  <si>
    <t>천안시</t>
    <phoneticPr fontId="3" type="noConversion"/>
  </si>
  <si>
    <t>중기운반</t>
    <phoneticPr fontId="3" type="noConversion"/>
  </si>
  <si>
    <t>석산</t>
    <phoneticPr fontId="3" type="noConversion"/>
  </si>
  <si>
    <t>자갈 혼합석 잡석</t>
    <phoneticPr fontId="3" type="noConversion"/>
  </si>
  <si>
    <t>석성면</t>
    <phoneticPr fontId="3" type="noConversion"/>
  </si>
  <si>
    <t>증산리</t>
    <phoneticPr fontId="3" type="noConversion"/>
  </si>
  <si>
    <t>골재장</t>
    <phoneticPr fontId="3" type="noConversion"/>
  </si>
  <si>
    <t xml:space="preserve">특수철재 배관자재 </t>
    <phoneticPr fontId="3" type="noConversion"/>
  </si>
  <si>
    <t>장암면</t>
    <phoneticPr fontId="3" type="noConversion"/>
  </si>
  <si>
    <t>공주시</t>
    <phoneticPr fontId="3" type="noConversion"/>
  </si>
  <si>
    <t>대 전</t>
    <phoneticPr fontId="3" type="noConversion"/>
  </si>
  <si>
    <t>광역시</t>
    <phoneticPr fontId="3" type="noConversion"/>
  </si>
  <si>
    <t>양회 목재</t>
    <phoneticPr fontId="3" type="noConversion"/>
  </si>
  <si>
    <t>철재 중기</t>
    <phoneticPr fontId="3" type="noConversion"/>
  </si>
  <si>
    <t>합하</t>
    <phoneticPr fontId="3" type="noConversion"/>
  </si>
  <si>
    <t>임천면</t>
    <phoneticPr fontId="3" type="noConversion"/>
  </si>
  <si>
    <t>현장</t>
    <phoneticPr fontId="3" type="noConversion"/>
  </si>
  <si>
    <t>삼거리</t>
    <phoneticPr fontId="3" type="noConversion"/>
  </si>
  <si>
    <t>점  리</t>
    <phoneticPr fontId="3" type="noConversion"/>
  </si>
  <si>
    <t>조립식구조물</t>
    <phoneticPr fontId="3" type="noConversion"/>
  </si>
  <si>
    <t>구  분</t>
    <phoneticPr fontId="3" type="noConversion"/>
  </si>
  <si>
    <t>규  격</t>
    <phoneticPr fontId="3" type="noConversion"/>
  </si>
  <si>
    <t>부리기</t>
    <phoneticPr fontId="3" type="noConversion"/>
  </si>
  <si>
    <t>(ton, m3, 본/원)</t>
    <phoneticPr fontId="3" type="noConversion"/>
  </si>
  <si>
    <t>D100mm L=6m</t>
    <phoneticPr fontId="3" type="noConversion"/>
  </si>
  <si>
    <t>D500mm L=6m</t>
    <phoneticPr fontId="3" type="noConversion"/>
  </si>
  <si>
    <t>자 재 단 가</t>
    <phoneticPr fontId="3" type="noConversion"/>
  </si>
  <si>
    <t>원목</t>
    <phoneticPr fontId="3" type="noConversion"/>
  </si>
  <si>
    <t>비계목(육송)</t>
    <phoneticPr fontId="3" type="noConversion"/>
  </si>
  <si>
    <t xml:space="preserve">소운반거리 L = </t>
    <phoneticPr fontId="3" type="noConversion"/>
  </si>
  <si>
    <t>철재</t>
    <phoneticPr fontId="3" type="noConversion"/>
  </si>
  <si>
    <t>신너</t>
    <phoneticPr fontId="3" type="noConversion"/>
  </si>
  <si>
    <t>KSM-6060 2종</t>
    <phoneticPr fontId="3" type="noConversion"/>
  </si>
  <si>
    <t>KSM-6020 백색1급</t>
    <phoneticPr fontId="3" type="noConversion"/>
  </si>
  <si>
    <t>KSM-6020 백색2급</t>
    <phoneticPr fontId="3" type="noConversion"/>
  </si>
  <si>
    <t>KSM-6030 1종(철구조물)</t>
    <phoneticPr fontId="3" type="noConversion"/>
  </si>
  <si>
    <t>KSM-6030 2종(철재용)</t>
    <phoneticPr fontId="3" type="noConversion"/>
  </si>
  <si>
    <t>KSM-6030 3종(보수용)</t>
    <phoneticPr fontId="3" type="noConversion"/>
  </si>
  <si>
    <t>KSM-6020 백색1급 1종</t>
    <phoneticPr fontId="3" type="noConversion"/>
  </si>
  <si>
    <t>KSM-6010 외부백색 1급</t>
    <phoneticPr fontId="3" type="noConversion"/>
  </si>
  <si>
    <t>3mm 61×121.9</t>
    <phoneticPr fontId="3" type="noConversion"/>
  </si>
  <si>
    <t>종                           별</t>
    <phoneticPr fontId="3" type="noConversion"/>
  </si>
  <si>
    <t>1.8 m 말구 5-6cm</t>
    <phoneticPr fontId="3" type="noConversion"/>
  </si>
  <si>
    <t>2.7m  말구 5-6cm</t>
    <phoneticPr fontId="3" type="noConversion"/>
  </si>
  <si>
    <t>각재</t>
    <phoneticPr fontId="3" type="noConversion"/>
  </si>
  <si>
    <t>육송(3.6*9.0*9.0)</t>
    <phoneticPr fontId="3" type="noConversion"/>
  </si>
  <si>
    <t>미송(3.6*4.5*4.5)</t>
    <phoneticPr fontId="3" type="noConversion"/>
  </si>
  <si>
    <t>라왕(3.6*4.5*9.0)</t>
    <phoneticPr fontId="3" type="noConversion"/>
  </si>
  <si>
    <t>판재</t>
    <phoneticPr fontId="3" type="noConversion"/>
  </si>
  <si>
    <t>육송</t>
    <phoneticPr fontId="3" type="noConversion"/>
  </si>
  <si>
    <t>미송</t>
    <phoneticPr fontId="3" type="noConversion"/>
  </si>
  <si>
    <t>라왕</t>
    <phoneticPr fontId="3" type="noConversion"/>
  </si>
  <si>
    <t>1200×2400(목재문)</t>
    <phoneticPr fontId="3" type="noConversion"/>
  </si>
  <si>
    <t>꼬치</t>
    <phoneticPr fontId="3" type="noConversion"/>
  </si>
  <si>
    <t>합판</t>
    <phoneticPr fontId="3" type="noConversion"/>
  </si>
  <si>
    <t>(보통 1급) 2.7㎜×121×242㎝</t>
    <phoneticPr fontId="3" type="noConversion"/>
  </si>
  <si>
    <t>(내수급)12㎜×121cm×242cm</t>
    <phoneticPr fontId="3" type="noConversion"/>
  </si>
  <si>
    <t>천정판</t>
    <phoneticPr fontId="3" type="noConversion"/>
  </si>
  <si>
    <t>미장P/W+50mmGL</t>
    <phoneticPr fontId="3" type="noConversion"/>
  </si>
  <si>
    <t>매</t>
    <phoneticPr fontId="3" type="noConversion"/>
  </si>
  <si>
    <t>석유화학제품</t>
    <phoneticPr fontId="3" type="noConversion"/>
  </si>
  <si>
    <t>무연</t>
    <phoneticPr fontId="3" type="noConversion"/>
  </si>
  <si>
    <t>경유</t>
    <phoneticPr fontId="3" type="noConversion"/>
  </si>
  <si>
    <t>저유황</t>
    <phoneticPr fontId="3" type="noConversion"/>
  </si>
  <si>
    <t>중유</t>
    <phoneticPr fontId="3" type="noConversion"/>
  </si>
  <si>
    <t>저유황 (방카C유)</t>
    <phoneticPr fontId="3" type="noConversion"/>
  </si>
  <si>
    <t>전기뇌관(2.5m)</t>
    <phoneticPr fontId="3" type="noConversion"/>
  </si>
  <si>
    <t xml:space="preserve">하이데토 플러스LP/MS </t>
    <phoneticPr fontId="3" type="noConversion"/>
  </si>
  <si>
    <t xml:space="preserve">에멀젼폭약 </t>
    <phoneticPr fontId="3" type="noConversion"/>
  </si>
  <si>
    <t>뉴마이트 플러스1(25mm)</t>
    <phoneticPr fontId="3" type="noConversion"/>
  </si>
  <si>
    <t>3kg B급</t>
    <phoneticPr fontId="3" type="noConversion"/>
  </si>
  <si>
    <t>6000ℓ</t>
    <phoneticPr fontId="3" type="noConversion"/>
  </si>
  <si>
    <t>병</t>
    <phoneticPr fontId="3" type="noConversion"/>
  </si>
  <si>
    <t>에폭시</t>
    <phoneticPr fontId="3" type="noConversion"/>
  </si>
  <si>
    <t>강관도장용</t>
    <phoneticPr fontId="3" type="noConversion"/>
  </si>
  <si>
    <t>에폭시 신너</t>
    <phoneticPr fontId="3" type="noConversion"/>
  </si>
  <si>
    <t>프라이머</t>
    <phoneticPr fontId="3" type="noConversion"/>
  </si>
  <si>
    <t>강관도장용 매스틱</t>
    <phoneticPr fontId="3" type="noConversion"/>
  </si>
  <si>
    <t>3t*40mm*6m</t>
    <phoneticPr fontId="3" type="noConversion"/>
  </si>
  <si>
    <t>강관도장용 안쪽테이프</t>
    <phoneticPr fontId="3" type="noConversion"/>
  </si>
  <si>
    <t>0.508t*100mm*6m</t>
    <phoneticPr fontId="3" type="noConversion"/>
  </si>
  <si>
    <t>강관도장용 바깥쪽테이프</t>
    <phoneticPr fontId="3" type="noConversion"/>
  </si>
  <si>
    <t>0.381t*100mm*30m</t>
    <phoneticPr fontId="3" type="noConversion"/>
  </si>
  <si>
    <t>강관도장용 액상접착제</t>
    <phoneticPr fontId="3" type="noConversion"/>
  </si>
  <si>
    <t>#1027</t>
    <phoneticPr fontId="3" type="noConversion"/>
  </si>
  <si>
    <t>표면양생제(유성)</t>
    <phoneticPr fontId="3" type="noConversion"/>
  </si>
  <si>
    <t>포장용</t>
    <phoneticPr fontId="3" type="noConversion"/>
  </si>
  <si>
    <t>아스팔트</t>
    <phoneticPr fontId="3" type="noConversion"/>
  </si>
  <si>
    <t>MC-3</t>
    <phoneticPr fontId="3" type="noConversion"/>
  </si>
  <si>
    <t>RC-3</t>
    <phoneticPr fontId="3" type="noConversion"/>
  </si>
  <si>
    <t>침입도 10-20%</t>
    <phoneticPr fontId="3" type="noConversion"/>
  </si>
  <si>
    <t>T.N-012</t>
    <phoneticPr fontId="3" type="noConversion"/>
  </si>
  <si>
    <t>연마지</t>
    <phoneticPr fontId="3" type="noConversion"/>
  </si>
  <si>
    <t>#180 - 240</t>
    <phoneticPr fontId="3" type="noConversion"/>
  </si>
  <si>
    <t>조합페인트(철재용)</t>
    <phoneticPr fontId="3" type="noConversion"/>
  </si>
  <si>
    <t>조합페인트(목재용)</t>
    <phoneticPr fontId="3" type="noConversion"/>
  </si>
  <si>
    <t>광명단(방청페인트)</t>
    <phoneticPr fontId="3" type="noConversion"/>
  </si>
  <si>
    <t>에나멜</t>
    <phoneticPr fontId="3" type="noConversion"/>
  </si>
  <si>
    <t>방수액</t>
    <phoneticPr fontId="3" type="noConversion"/>
  </si>
  <si>
    <t>지붕용</t>
    <phoneticPr fontId="3" type="noConversion"/>
  </si>
  <si>
    <t>에멀존페인트(수성)</t>
    <phoneticPr fontId="3" type="noConversion"/>
  </si>
  <si>
    <t>퍼티</t>
    <phoneticPr fontId="3" type="noConversion"/>
  </si>
  <si>
    <t>도장용</t>
    <phoneticPr fontId="3" type="noConversion"/>
  </si>
  <si>
    <t>판유리</t>
    <phoneticPr fontId="3" type="noConversion"/>
  </si>
  <si>
    <t>5mm 61×121.9</t>
    <phoneticPr fontId="3" type="noConversion"/>
  </si>
  <si>
    <t>D=100mm</t>
    <phoneticPr fontId="3" type="noConversion"/>
  </si>
  <si>
    <t>D=500mm</t>
    <phoneticPr fontId="3" type="noConversion"/>
  </si>
  <si>
    <t xml:space="preserve">q = </t>
    <phoneticPr fontId="3" type="noConversion"/>
  </si>
  <si>
    <t>건설기계명</t>
    <phoneticPr fontId="3" type="noConversion"/>
  </si>
  <si>
    <t>불도져</t>
    <phoneticPr fontId="3" type="noConversion"/>
  </si>
  <si>
    <t>0.7㎥(보통)</t>
    <phoneticPr fontId="3" type="noConversion"/>
  </si>
  <si>
    <t>0.7㎥(암석)</t>
    <phoneticPr fontId="3" type="noConversion"/>
  </si>
  <si>
    <t>0.7㎥(브레카용)</t>
    <phoneticPr fontId="3" type="noConversion"/>
  </si>
  <si>
    <t>일반용3.6m</t>
    <phoneticPr fontId="3" type="noConversion"/>
  </si>
  <si>
    <t>덤프트럭</t>
    <phoneticPr fontId="3" type="noConversion"/>
  </si>
  <si>
    <t>진동로울러(자주식)</t>
    <phoneticPr fontId="3" type="noConversion"/>
  </si>
  <si>
    <t>양족식 로울러(견인식)</t>
    <phoneticPr fontId="3" type="noConversion"/>
  </si>
  <si>
    <t>양족식롤러(자주식)</t>
    <phoneticPr fontId="3" type="noConversion"/>
  </si>
  <si>
    <t>공기압축기</t>
    <phoneticPr fontId="3" type="noConversion"/>
  </si>
  <si>
    <t>콘크리트진동기</t>
    <phoneticPr fontId="3" type="noConversion"/>
  </si>
  <si>
    <t>대형브레이카</t>
    <phoneticPr fontId="3" type="noConversion"/>
  </si>
  <si>
    <t>0.7㎥</t>
    <phoneticPr fontId="3" type="noConversion"/>
  </si>
  <si>
    <t>경운기</t>
    <phoneticPr fontId="3" type="noConversion"/>
  </si>
  <si>
    <t>콘크리트캇타</t>
    <phoneticPr fontId="3" type="noConversion"/>
  </si>
  <si>
    <t>320-400mm</t>
    <phoneticPr fontId="3" type="noConversion"/>
  </si>
  <si>
    <t>물탱크</t>
    <phoneticPr fontId="3" type="noConversion"/>
  </si>
  <si>
    <t>5500L</t>
    <phoneticPr fontId="3" type="noConversion"/>
  </si>
  <si>
    <t>발전기</t>
    <phoneticPr fontId="3" type="noConversion"/>
  </si>
  <si>
    <t>25kw</t>
    <phoneticPr fontId="3" type="noConversion"/>
  </si>
  <si>
    <t>용접기(교류)</t>
    <phoneticPr fontId="3" type="noConversion"/>
  </si>
  <si>
    <t>양수기</t>
    <phoneticPr fontId="3" type="noConversion"/>
  </si>
  <si>
    <t>×</t>
    <phoneticPr fontId="3" type="noConversion"/>
  </si>
  <si>
    <t>불도져 13ton (습지)</t>
    <phoneticPr fontId="3" type="noConversion"/>
  </si>
  <si>
    <t xml:space="preserve">불도져 19ton </t>
    <phoneticPr fontId="3" type="noConversion"/>
  </si>
  <si>
    <t>유압식백호 0.7㎥</t>
    <phoneticPr fontId="3" type="noConversion"/>
  </si>
  <si>
    <t>유압식백호 0.7㎥ (브레이카용)</t>
    <phoneticPr fontId="3" type="noConversion"/>
  </si>
  <si>
    <t>스텐레스사다리</t>
    <phoneticPr fontId="3" type="noConversion"/>
  </si>
  <si>
    <t>스테인레스파이프</t>
    <phoneticPr fontId="3" type="noConversion"/>
  </si>
  <si>
    <t>25.4*1.5</t>
    <phoneticPr fontId="3" type="noConversion"/>
  </si>
  <si>
    <t>31.8*1.5</t>
    <phoneticPr fontId="3" type="noConversion"/>
  </si>
  <si>
    <t>철판</t>
    <phoneticPr fontId="3" type="noConversion"/>
  </si>
  <si>
    <t>T=6mm</t>
    <phoneticPr fontId="3" type="noConversion"/>
  </si>
  <si>
    <t>앙카볼트와샤</t>
    <phoneticPr fontId="3" type="noConversion"/>
  </si>
  <si>
    <t>고철공제</t>
    <phoneticPr fontId="3" type="noConversion"/>
  </si>
  <si>
    <t>제작운반 설치비</t>
    <phoneticPr fontId="3" type="noConversion"/>
  </si>
  <si>
    <t>개</t>
    <phoneticPr fontId="3" type="noConversion"/>
  </si>
  <si>
    <t>계</t>
    <phoneticPr fontId="3" type="noConversion"/>
  </si>
  <si>
    <t>방수모르터 바름(1:3, t=21mm)</t>
    <phoneticPr fontId="3" type="noConversion"/>
  </si>
  <si>
    <t>방수모르터(1:3)</t>
    <phoneticPr fontId="3" type="noConversion"/>
  </si>
  <si>
    <t>미장공</t>
    <phoneticPr fontId="3" type="noConversion"/>
  </si>
  <si>
    <t>인부</t>
    <phoneticPr fontId="3" type="noConversion"/>
  </si>
  <si>
    <t>인</t>
    <phoneticPr fontId="3" type="noConversion"/>
  </si>
  <si>
    <t>1㎡</t>
    <phoneticPr fontId="3" type="noConversion"/>
  </si>
  <si>
    <t>레미콘 : 철근(210-25)  10㎥이상</t>
    <phoneticPr fontId="3" type="noConversion"/>
  </si>
  <si>
    <t>콘크리트타설</t>
    <phoneticPr fontId="3" type="noConversion"/>
  </si>
  <si>
    <t xml:space="preserve">콘크리트타설(펌프차) 철근구조물 </t>
    <phoneticPr fontId="3" type="noConversion"/>
  </si>
  <si>
    <t>콘크리트펌프차</t>
    <phoneticPr fontId="3" type="noConversion"/>
  </si>
  <si>
    <t>타설인부</t>
    <phoneticPr fontId="3" type="noConversion"/>
  </si>
  <si>
    <t>콘크리트공</t>
    <phoneticPr fontId="3" type="noConversion"/>
  </si>
  <si>
    <t>보통인부</t>
    <phoneticPr fontId="3" type="noConversion"/>
  </si>
  <si>
    <t>hr</t>
    <phoneticPr fontId="3" type="noConversion"/>
  </si>
  <si>
    <t>21m</t>
    <phoneticPr fontId="3" type="noConversion"/>
  </si>
  <si>
    <t>콘크리트펌프차(21m)</t>
    <phoneticPr fontId="3" type="noConversion"/>
  </si>
  <si>
    <t xml:space="preserve"> 콘크리트 펌푸차  41m  80㎥/H</t>
    <phoneticPr fontId="3" type="noConversion"/>
  </si>
  <si>
    <t>21m</t>
    <phoneticPr fontId="3" type="noConversion"/>
  </si>
  <si>
    <t>레미콘</t>
    <phoneticPr fontId="3" type="noConversion"/>
  </si>
  <si>
    <t>콘크리트타설</t>
    <phoneticPr fontId="3" type="noConversion"/>
  </si>
  <si>
    <t>펌프카</t>
    <phoneticPr fontId="3" type="noConversion"/>
  </si>
  <si>
    <t>레미콘 : 철근,펌프카(240-25)  10㎥이상</t>
    <phoneticPr fontId="3" type="noConversion"/>
  </si>
  <si>
    <t>경     비</t>
    <phoneticPr fontId="3" type="noConversion"/>
  </si>
  <si>
    <t>잡유(주연료의20%)</t>
    <phoneticPr fontId="3" type="noConversion"/>
  </si>
  <si>
    <t>크레인 10ton</t>
    <phoneticPr fontId="3" type="noConversion"/>
  </si>
  <si>
    <t>크레인 20ton</t>
    <phoneticPr fontId="3" type="noConversion"/>
  </si>
  <si>
    <t xml:space="preserve">그레이더  3.6 m </t>
    <phoneticPr fontId="3" type="noConversion"/>
  </si>
  <si>
    <t>덤프트럭 15ton</t>
    <phoneticPr fontId="3" type="noConversion"/>
  </si>
  <si>
    <t>손  료</t>
    <phoneticPr fontId="3" type="noConversion"/>
  </si>
  <si>
    <t>진동로울러( 자주식 ) 10ton</t>
    <phoneticPr fontId="3" type="noConversion"/>
  </si>
  <si>
    <t>양족식로울러(견인식) 7ton</t>
    <phoneticPr fontId="3" type="noConversion"/>
  </si>
  <si>
    <t>양족식로울러(자주식) 19ton</t>
    <phoneticPr fontId="3" type="noConversion"/>
  </si>
  <si>
    <t>플레이트콤펙터 1.5 ton</t>
    <phoneticPr fontId="3" type="noConversion"/>
  </si>
  <si>
    <t>자재운반거리</t>
    <phoneticPr fontId="3" type="noConversion"/>
  </si>
  <si>
    <t>소운반거리</t>
    <phoneticPr fontId="3" type="noConversion"/>
  </si>
  <si>
    <t>자재운반도</t>
    <phoneticPr fontId="3" type="noConversion"/>
  </si>
  <si>
    <t>주연료(휘발류)</t>
    <phoneticPr fontId="3" type="noConversion"/>
  </si>
  <si>
    <t>공기압축기 7.1㎥/min</t>
    <phoneticPr fontId="3" type="noConversion"/>
  </si>
  <si>
    <t>잡유(주연료의0%)</t>
    <phoneticPr fontId="3" type="noConversion"/>
  </si>
  <si>
    <t>경운기 1ton</t>
    <phoneticPr fontId="3" type="noConversion"/>
  </si>
  <si>
    <t>대형브레이카 0.7㎥</t>
    <phoneticPr fontId="3" type="noConversion"/>
  </si>
  <si>
    <t>운전사(기계)</t>
    <phoneticPr fontId="3" type="noConversion"/>
  </si>
  <si>
    <t>트레일러 20ton</t>
    <phoneticPr fontId="3" type="noConversion"/>
  </si>
  <si>
    <t>발전기 25kw</t>
    <phoneticPr fontId="3" type="noConversion"/>
  </si>
  <si>
    <t>용접기(교류) 200A</t>
    <phoneticPr fontId="3" type="noConversion"/>
  </si>
  <si>
    <t>양수기 ( 디젤엔진 5 HP , ∮80 M/M 조합 )</t>
    <phoneticPr fontId="3" type="noConversion"/>
  </si>
  <si>
    <t>양수기 80 M/M</t>
    <phoneticPr fontId="3" type="noConversion"/>
  </si>
  <si>
    <t>디젤엔진 5HP</t>
    <phoneticPr fontId="3" type="noConversion"/>
  </si>
  <si>
    <t>지   구   명</t>
    <phoneticPr fontId="3" type="noConversion"/>
  </si>
  <si>
    <t xml:space="preserve"> 75×6 섹숀호스</t>
    <phoneticPr fontId="3" type="noConversion"/>
  </si>
  <si>
    <t>㎥/hr</t>
    <phoneticPr fontId="3" type="noConversion"/>
  </si>
  <si>
    <t>물탱크 5500L</t>
    <phoneticPr fontId="3" type="noConversion"/>
  </si>
  <si>
    <t>ton</t>
    <phoneticPr fontId="3" type="noConversion"/>
  </si>
  <si>
    <t>kg</t>
    <phoneticPr fontId="3" type="noConversion"/>
  </si>
  <si>
    <t>ton</t>
    <phoneticPr fontId="3" type="noConversion"/>
  </si>
  <si>
    <t>자갈</t>
    <phoneticPr fontId="3" type="noConversion"/>
  </si>
  <si>
    <t>특수철재</t>
    <phoneticPr fontId="3" type="noConversion"/>
  </si>
  <si>
    <t xml:space="preserve">유압식백호 </t>
    <phoneticPr fontId="3" type="noConversion"/>
  </si>
  <si>
    <t>금   액</t>
  </si>
  <si>
    <t>강관</t>
  </si>
  <si>
    <t>철물</t>
  </si>
  <si>
    <t>인건비의 5%</t>
  </si>
  <si>
    <t>T = 10,500 kg</t>
  </si>
  <si>
    <t>◈ 시멘트 싣고 부리기</t>
  </si>
  <si>
    <t>f = 1.00</t>
  </si>
  <si>
    <t>◈ 시멘트 운반</t>
  </si>
  <si>
    <t xml:space="preserve">경운기 </t>
  </si>
  <si>
    <t>◈ 시멘트 하차입고</t>
  </si>
  <si>
    <t>공/㎥</t>
  </si>
  <si>
    <t>단 위 당  경 비</t>
  </si>
  <si>
    <t>운전원</t>
  </si>
  <si>
    <t>수  량</t>
  </si>
  <si>
    <t>항</t>
  </si>
  <si>
    <t>목</t>
  </si>
  <si>
    <t>단위</t>
  </si>
  <si>
    <t>대</t>
  </si>
  <si>
    <t>ton</t>
  </si>
  <si>
    <t>㎥</t>
  </si>
  <si>
    <t>본</t>
  </si>
  <si>
    <t>㎡</t>
  </si>
  <si>
    <t>개</t>
  </si>
  <si>
    <t>kg</t>
  </si>
  <si>
    <t>m</t>
  </si>
  <si>
    <t>소  계</t>
  </si>
  <si>
    <t>재 료 비</t>
  </si>
  <si>
    <t>매</t>
  </si>
  <si>
    <t>〃</t>
  </si>
  <si>
    <t>콘크리트제품</t>
  </si>
  <si>
    <t>지수판 설치비</t>
  </si>
  <si>
    <t>단  위  당  경  비</t>
  </si>
  <si>
    <t>손    료</t>
  </si>
  <si>
    <t>모래운반 (소운반)</t>
  </si>
  <si>
    <t>덤프 15ton</t>
  </si>
  <si>
    <t>◈ 목재 하차입고</t>
  </si>
  <si>
    <t>손율 10%</t>
  </si>
  <si>
    <t>48.6㎜*2.4㎜</t>
  </si>
  <si>
    <t>직교,자재</t>
  </si>
  <si>
    <t>앙카공</t>
  </si>
  <si>
    <t>0.399*2.63/1000</t>
  </si>
  <si>
    <t>4 ton(초습지)</t>
    <phoneticPr fontId="3" type="noConversion"/>
  </si>
  <si>
    <t>12ton 무한궤도</t>
    <phoneticPr fontId="3" type="noConversion"/>
  </si>
  <si>
    <t>유압식 백호</t>
    <phoneticPr fontId="3" type="noConversion"/>
  </si>
  <si>
    <t>1.0㎥(보통) 무한궤도</t>
    <phoneticPr fontId="3" type="noConversion"/>
  </si>
  <si>
    <t xml:space="preserve">2.29㎥(타이어) </t>
    <phoneticPr fontId="3" type="noConversion"/>
  </si>
  <si>
    <t>색숀 호스 100×6m</t>
    <phoneticPr fontId="3" type="noConversion"/>
  </si>
  <si>
    <t>섹션호스 150×6m</t>
    <phoneticPr fontId="3" type="noConversion"/>
  </si>
  <si>
    <t>4.4 TON</t>
    <phoneticPr fontId="3" type="noConversion"/>
  </si>
  <si>
    <t>타이어로울러(자주식)</t>
    <phoneticPr fontId="3" type="noConversion"/>
  </si>
  <si>
    <t>양족식로울러(자주식)</t>
    <phoneticPr fontId="3" type="noConversion"/>
  </si>
  <si>
    <t>3.5㎥/Min</t>
    <phoneticPr fontId="3" type="noConversion"/>
  </si>
  <si>
    <t>7.1㎥/Min</t>
    <phoneticPr fontId="3" type="noConversion"/>
  </si>
  <si>
    <t>10.3㎥/Min</t>
    <phoneticPr fontId="3" type="noConversion"/>
  </si>
  <si>
    <t>17㎥/Min</t>
    <phoneticPr fontId="3" type="noConversion"/>
  </si>
  <si>
    <t>착암기(래그헤머)</t>
    <phoneticPr fontId="3" type="noConversion"/>
  </si>
  <si>
    <t>총         액</t>
    <phoneticPr fontId="3" type="noConversion"/>
  </si>
  <si>
    <t>비탈규준틀</t>
    <phoneticPr fontId="3" type="noConversion"/>
  </si>
  <si>
    <t>1㎥</t>
    <phoneticPr fontId="3" type="noConversion"/>
  </si>
  <si>
    <t xml:space="preserve">터파기(백호:모래,사질토) </t>
    <phoneticPr fontId="3" type="noConversion"/>
  </si>
  <si>
    <t xml:space="preserve">되메움(토사:인력+콤팩터) </t>
    <phoneticPr fontId="3" type="noConversion"/>
  </si>
  <si>
    <t xml:space="preserve"> 1㎥</t>
    <phoneticPr fontId="3" type="noConversion"/>
  </si>
  <si>
    <t>뒷채움(토사:백호)</t>
    <phoneticPr fontId="3" type="noConversion"/>
  </si>
  <si>
    <t>잔토처리(토사)</t>
    <phoneticPr fontId="3" type="noConversion"/>
  </si>
  <si>
    <t xml:space="preserve">기초모래 </t>
    <phoneticPr fontId="3" type="noConversion"/>
  </si>
  <si>
    <t xml:space="preserve">구조물헐기(브레이카 무근 t=30㎝ 미만) </t>
    <phoneticPr fontId="3" type="noConversion"/>
  </si>
  <si>
    <t>포장절단 (콘크리트)</t>
    <phoneticPr fontId="3" type="noConversion"/>
  </si>
  <si>
    <t>1 m</t>
    <phoneticPr fontId="3" type="noConversion"/>
  </si>
  <si>
    <t xml:space="preserve">강관동바리(암거구조물 6개월) H= 0.0 -4.2m </t>
    <phoneticPr fontId="3" type="noConversion"/>
  </si>
  <si>
    <t>1공 ㎡</t>
    <phoneticPr fontId="3" type="noConversion"/>
  </si>
  <si>
    <t xml:space="preserve">철근(복잡구조)  </t>
    <phoneticPr fontId="3" type="noConversion"/>
  </si>
  <si>
    <t xml:space="preserve">철근(보통구조)  </t>
    <phoneticPr fontId="3" type="noConversion"/>
  </si>
  <si>
    <t xml:space="preserve">합판거푸집(4회) 10㎥미만 </t>
    <phoneticPr fontId="3" type="noConversion"/>
  </si>
  <si>
    <t xml:space="preserve">합판거푸집(4회) H=0-7M 10㎥이상 </t>
    <phoneticPr fontId="3" type="noConversion"/>
  </si>
  <si>
    <t>1본</t>
    <phoneticPr fontId="3" type="noConversion"/>
  </si>
  <si>
    <t>PE관 D=300</t>
    <phoneticPr fontId="3" type="noConversion"/>
  </si>
  <si>
    <t>1m</t>
    <phoneticPr fontId="3" type="noConversion"/>
  </si>
  <si>
    <t xml:space="preserve"> 1m</t>
    <phoneticPr fontId="3" type="noConversion"/>
  </si>
  <si>
    <t>1 개소</t>
    <phoneticPr fontId="3" type="noConversion"/>
  </si>
  <si>
    <t>2.7㎥/Min</t>
    <phoneticPr fontId="3" type="noConversion"/>
  </si>
  <si>
    <t>3/4″</t>
    <phoneticPr fontId="3" type="noConversion"/>
  </si>
  <si>
    <t>페이브먼트 브레이카</t>
    <phoneticPr fontId="3" type="noConversion"/>
  </si>
  <si>
    <t xml:space="preserve">        30 ton</t>
    <phoneticPr fontId="3" type="noConversion"/>
  </si>
  <si>
    <t xml:space="preserve">        60 ton</t>
    <phoneticPr fontId="3" type="noConversion"/>
  </si>
  <si>
    <t>양 수 기(물푸기용)</t>
    <phoneticPr fontId="3" type="noConversion"/>
  </si>
  <si>
    <t>∮ 100mm</t>
    <phoneticPr fontId="3" type="noConversion"/>
  </si>
  <si>
    <t xml:space="preserve">   디젤 엔진 7HP</t>
    <phoneticPr fontId="3" type="noConversion"/>
  </si>
  <si>
    <t>흄관운반 (D1000)</t>
    <phoneticPr fontId="3" type="noConversion"/>
  </si>
  <si>
    <t>흄관(D800)운반</t>
    <phoneticPr fontId="3" type="noConversion"/>
  </si>
  <si>
    <t>흄관(D1000)운반</t>
    <phoneticPr fontId="3" type="noConversion"/>
  </si>
  <si>
    <t xml:space="preserve">    ∮  150mm</t>
    <phoneticPr fontId="3" type="noConversion"/>
  </si>
  <si>
    <t>진동로울러(자주식)</t>
    <phoneticPr fontId="3" type="noConversion"/>
  </si>
  <si>
    <t>진동로울러(헨드가이드식)</t>
    <phoneticPr fontId="3" type="noConversion"/>
  </si>
  <si>
    <t>0.7TON</t>
    <phoneticPr fontId="3" type="noConversion"/>
  </si>
  <si>
    <t>라인마아커</t>
    <phoneticPr fontId="3" type="noConversion"/>
  </si>
  <si>
    <t>10km/h</t>
    <phoneticPr fontId="3" type="noConversion"/>
  </si>
  <si>
    <t>머캐덤 로울러(자주식)</t>
    <phoneticPr fontId="3" type="noConversion"/>
  </si>
  <si>
    <t>텐덤 로울러(자주식)</t>
    <phoneticPr fontId="3" type="noConversion"/>
  </si>
  <si>
    <t>19 Ton</t>
    <phoneticPr fontId="3" type="noConversion"/>
  </si>
  <si>
    <t>플레이트콤펙터(1.5ton)</t>
    <phoneticPr fontId="3" type="noConversion"/>
  </si>
  <si>
    <t>1.5Ton</t>
    <phoneticPr fontId="3" type="noConversion"/>
  </si>
  <si>
    <t>크로울러드릴(17㎥/min)</t>
    <phoneticPr fontId="3" type="noConversion"/>
  </si>
  <si>
    <t>용접기(교류)</t>
    <phoneticPr fontId="3" type="noConversion"/>
  </si>
  <si>
    <t>200AMP</t>
    <phoneticPr fontId="3" type="noConversion"/>
  </si>
  <si>
    <t>발 전 기</t>
    <phoneticPr fontId="3" type="noConversion"/>
  </si>
  <si>
    <t>50Kw</t>
    <phoneticPr fontId="3" type="noConversion"/>
  </si>
  <si>
    <t>유압식 리퍼</t>
    <phoneticPr fontId="3" type="noConversion"/>
  </si>
  <si>
    <t>유압식 리퍼(19ton)</t>
    <phoneticPr fontId="3" type="noConversion"/>
  </si>
  <si>
    <t>유압식 진동 콤펙터</t>
    <phoneticPr fontId="3" type="noConversion"/>
  </si>
  <si>
    <t>양 수 기</t>
    <phoneticPr fontId="3" type="noConversion"/>
  </si>
  <si>
    <t>50mm</t>
    <phoneticPr fontId="3" type="noConversion"/>
  </si>
  <si>
    <t>5HP</t>
    <phoneticPr fontId="3" type="noConversion"/>
  </si>
  <si>
    <t>섹숀호스</t>
    <phoneticPr fontId="3" type="noConversion"/>
  </si>
  <si>
    <t>65×6m</t>
    <phoneticPr fontId="3" type="noConversion"/>
  </si>
  <si>
    <t>80mm</t>
    <phoneticPr fontId="3" type="noConversion"/>
  </si>
  <si>
    <t>75×6m</t>
    <phoneticPr fontId="3" type="noConversion"/>
  </si>
  <si>
    <t>로 우 더(타이어식)</t>
    <phoneticPr fontId="3" type="noConversion"/>
  </si>
  <si>
    <t>유압식 백호(습지)</t>
    <phoneticPr fontId="3" type="noConversion"/>
  </si>
  <si>
    <t>25Kw</t>
    <phoneticPr fontId="3" type="noConversion"/>
  </si>
  <si>
    <t>환 율</t>
    <phoneticPr fontId="3" type="noConversion"/>
  </si>
  <si>
    <t>19ton 무한궤도</t>
    <phoneticPr fontId="3" type="noConversion"/>
  </si>
  <si>
    <t>19ton 무한궤도(립퍼)</t>
    <phoneticPr fontId="3" type="noConversion"/>
  </si>
  <si>
    <t>모터그레이더</t>
    <phoneticPr fontId="3" type="noConversion"/>
  </si>
  <si>
    <t>인</t>
    <phoneticPr fontId="3" type="noConversion"/>
  </si>
  <si>
    <t>kg</t>
    <phoneticPr fontId="3" type="noConversion"/>
  </si>
  <si>
    <t>㎥</t>
    <phoneticPr fontId="3" type="noConversion"/>
  </si>
  <si>
    <t>km</t>
    <phoneticPr fontId="3" type="noConversion"/>
  </si>
  <si>
    <t>성토다짐</t>
    <phoneticPr fontId="3" type="noConversion"/>
  </si>
  <si>
    <t>도져12ton+견인양족로울러 7ton</t>
    <phoneticPr fontId="3" type="noConversion"/>
  </si>
  <si>
    <t xml:space="preserve">성토다짐(95%) </t>
    <phoneticPr fontId="3" type="noConversion"/>
  </si>
  <si>
    <t xml:space="preserve">자주식 양족식로울러 19ton </t>
    <phoneticPr fontId="3" type="noConversion"/>
  </si>
  <si>
    <t>점토 고르고다짐</t>
    <phoneticPr fontId="3" type="noConversion"/>
  </si>
  <si>
    <t>플레이트콤팩터 1.5ton</t>
    <phoneticPr fontId="3" type="noConversion"/>
  </si>
  <si>
    <t>콘크리트다짐(10㎥미만)</t>
    <phoneticPr fontId="3" type="noConversion"/>
  </si>
  <si>
    <t>콘크리트다짐(10㎥이상)</t>
    <phoneticPr fontId="3" type="noConversion"/>
  </si>
  <si>
    <t>물운반</t>
    <phoneticPr fontId="3" type="noConversion"/>
  </si>
  <si>
    <t>물탱크 5500L</t>
    <phoneticPr fontId="3" type="noConversion"/>
  </si>
  <si>
    <t>t</t>
  </si>
  <si>
    <t>D = 320-400mm</t>
  </si>
  <si>
    <t>물</t>
  </si>
  <si>
    <t>3000/1000</t>
  </si>
  <si>
    <t>인 부</t>
  </si>
  <si>
    <t>콘크리트캇타</t>
  </si>
  <si>
    <t>100/(60*0.5)</t>
  </si>
  <si>
    <t>양수기손료</t>
  </si>
  <si>
    <t>100/30</t>
  </si>
  <si>
    <t>노력비의 5%</t>
  </si>
  <si>
    <t>잡고철</t>
    <phoneticPr fontId="3" type="noConversion"/>
  </si>
  <si>
    <t>융착기</t>
    <phoneticPr fontId="3" type="noConversion"/>
  </si>
  <si>
    <t>단위</t>
    <phoneticPr fontId="3" type="noConversion"/>
  </si>
  <si>
    <t>휘발유</t>
  </si>
  <si>
    <t>주연료(경유)</t>
  </si>
  <si>
    <t>손  료</t>
  </si>
  <si>
    <t>잡유(주연료의25%)</t>
  </si>
  <si>
    <t>손  료(백호우)</t>
  </si>
  <si>
    <t>주연료(휘발유)</t>
  </si>
  <si>
    <t>잡유(주연료의10%)</t>
  </si>
  <si>
    <t>바이브레터(봉상)</t>
  </si>
  <si>
    <t>잡유(주연료의20%)</t>
  </si>
  <si>
    <t>가공비</t>
  </si>
  <si>
    <t>고철공제</t>
  </si>
  <si>
    <t>합  계</t>
  </si>
  <si>
    <t>와이어메쉬</t>
  </si>
  <si>
    <t>단  위</t>
  </si>
  <si>
    <t>시멘트</t>
  </si>
  <si>
    <t>#467</t>
  </si>
  <si>
    <t>#78</t>
  </si>
  <si>
    <t>q =</t>
    <phoneticPr fontId="3" type="noConversion"/>
  </si>
  <si>
    <t>작업보조인부</t>
  </si>
  <si>
    <t>1/8*1/Q</t>
  </si>
  <si>
    <t>1/1.03</t>
  </si>
  <si>
    <t xml:space="preserve">t = </t>
  </si>
  <si>
    <t>=</t>
  </si>
  <si>
    <t>노무비</t>
  </si>
  <si>
    <t>재료비</t>
  </si>
  <si>
    <t>경  비</t>
  </si>
  <si>
    <t xml:space="preserve">트럭에서 창고 17m, </t>
  </si>
  <si>
    <t>7m 마다 1인 ⇒ 17 * 2 * 1 / 17 = 5 인</t>
  </si>
  <si>
    <t>어깨메기 부리기 시간 ⇒ t = 7 / 50 = 0.14 분</t>
  </si>
  <si>
    <t>1 회 운반 소요시간    ⇒ cm = 2 * 17 / 50 + 0.14 = 0.82 분</t>
  </si>
  <si>
    <t>rt = 580 kg/㎥</t>
  </si>
  <si>
    <t>q = T / 8,000 * 12 = 15.75</t>
  </si>
  <si>
    <t>qo = q * rt = 9,135.00</t>
  </si>
  <si>
    <t>◈ 철근 싣고 부리기</t>
  </si>
  <si>
    <t>조립식개거운반비</t>
    <phoneticPr fontId="3" type="noConversion"/>
  </si>
  <si>
    <t>조립식구조물설치</t>
    <phoneticPr fontId="3" type="noConversion"/>
  </si>
  <si>
    <t>조립식구조물설치(800B 900~1100kg)</t>
    <phoneticPr fontId="3" type="noConversion"/>
  </si>
  <si>
    <t>기구손료및이음몰탈</t>
    <phoneticPr fontId="3" type="noConversion"/>
  </si>
  <si>
    <t>무한괘도크레인</t>
    <phoneticPr fontId="3" type="noConversion"/>
  </si>
  <si>
    <t>노력비의2%</t>
    <phoneticPr fontId="3" type="noConversion"/>
  </si>
  <si>
    <t>10TON</t>
    <phoneticPr fontId="3" type="noConversion"/>
  </si>
  <si>
    <t>HR</t>
    <phoneticPr fontId="3" type="noConversion"/>
  </si>
  <si>
    <t>조립식구조물설치 800B (900~1100kg)</t>
    <phoneticPr fontId="3" type="noConversion"/>
  </si>
  <si>
    <t>◈ 철근 운반</t>
  </si>
  <si>
    <t>◈ 목재 싣고 부리기</t>
  </si>
  <si>
    <t>Q=1000*V*W*D*E*f/N=</t>
  </si>
  <si>
    <t>가체절 흙깍기(토사)</t>
  </si>
  <si>
    <t>f=0.90/1.25=</t>
  </si>
  <si>
    <t>가체절 흙헐기(토사)</t>
  </si>
  <si>
    <t>f=1.00/1.25=</t>
  </si>
  <si>
    <t>암파쇄 브레이카 (풍화암)</t>
  </si>
  <si>
    <t xml:space="preserve">대형 브레이카 </t>
  </si>
  <si>
    <t>암파쇄 브레이카 (연암)</t>
  </si>
  <si>
    <t>외부PANEL(철재문)</t>
  </si>
  <si>
    <t>PANEL JOINT(AL-BAR)      L = 2.4m</t>
  </si>
  <si>
    <t>CANOPY</t>
  </si>
  <si>
    <t>0.6 * 1.2m</t>
  </si>
  <si>
    <t>박공 PANEL</t>
  </si>
  <si>
    <t>ROOF SHEET</t>
  </si>
  <si>
    <t>0.5mm color sheet        1.23</t>
  </si>
  <si>
    <t>TRUSS</t>
  </si>
  <si>
    <t>L = 7.2m</t>
  </si>
  <si>
    <t>중도리(PURIN)</t>
  </si>
  <si>
    <t>천정판</t>
  </si>
  <si>
    <t>미장P/W+50MMGL       0.69</t>
  </si>
  <si>
    <t>T-BAR</t>
  </si>
  <si>
    <t>건축목공</t>
  </si>
  <si>
    <t>철근공</t>
  </si>
  <si>
    <t>결속선</t>
  </si>
  <si>
    <t>0.9 mm</t>
  </si>
  <si>
    <t>(km)</t>
  </si>
  <si>
    <t>(원)</t>
  </si>
  <si>
    <t>수량</t>
  </si>
  <si>
    <t>○</t>
  </si>
  <si>
    <t>유압식립퍼 (풍화암)</t>
  </si>
  <si>
    <t>불도져</t>
  </si>
  <si>
    <t>ℓ=</t>
  </si>
  <si>
    <t>f=</t>
  </si>
  <si>
    <t xml:space="preserve"> E=</t>
  </si>
  <si>
    <t>An=</t>
  </si>
  <si>
    <t>cm = ( 0.05 * 1 ) + 0.25 =</t>
  </si>
  <si>
    <t>분</t>
  </si>
  <si>
    <t>Q=60*An*ℓ*f*E/cm</t>
  </si>
  <si>
    <t>집   석</t>
  </si>
  <si>
    <t>q=</t>
  </si>
  <si>
    <t>3.2*0.96=</t>
  </si>
  <si>
    <t>f=(1/1.3)=</t>
  </si>
  <si>
    <t>V1=</t>
  </si>
  <si>
    <t>V2=</t>
  </si>
  <si>
    <t>내부판넬</t>
  </si>
  <si>
    <t>용접봉</t>
  </si>
  <si>
    <t>산  소</t>
  </si>
  <si>
    <t>5355/6000</t>
  </si>
  <si>
    <t>병</t>
  </si>
  <si>
    <t>아세틸렌</t>
  </si>
  <si>
    <t>철  공</t>
  </si>
  <si>
    <t>사석투하고르기</t>
    <phoneticPr fontId="3" type="noConversion"/>
  </si>
  <si>
    <t>잔토처리</t>
  </si>
  <si>
    <t>구조용강관</t>
  </si>
  <si>
    <t>"</t>
    <phoneticPr fontId="3" type="noConversion"/>
  </si>
  <si>
    <t>공기압축기</t>
    <phoneticPr fontId="3" type="noConversion"/>
  </si>
  <si>
    <t>에어호스</t>
    <phoneticPr fontId="3" type="noConversion"/>
  </si>
  <si>
    <t>25kg</t>
    <phoneticPr fontId="3" type="noConversion"/>
  </si>
  <si>
    <t>콘크리트 펌프</t>
    <phoneticPr fontId="3" type="noConversion"/>
  </si>
  <si>
    <t>디젤엔진</t>
    <phoneticPr fontId="3" type="noConversion"/>
  </si>
  <si>
    <t>35HP</t>
    <phoneticPr fontId="3" type="noConversion"/>
  </si>
  <si>
    <t>15.9kg</t>
    <phoneticPr fontId="3" type="noConversion"/>
  </si>
  <si>
    <t>물탱크</t>
    <phoneticPr fontId="3" type="noConversion"/>
  </si>
  <si>
    <t>융착기</t>
    <phoneticPr fontId="3" type="noConversion"/>
  </si>
  <si>
    <t>200~300mm</t>
    <phoneticPr fontId="3" type="noConversion"/>
  </si>
  <si>
    <t>콘크리트캇타</t>
    <phoneticPr fontId="3" type="noConversion"/>
  </si>
  <si>
    <t>320-400mm</t>
    <phoneticPr fontId="3" type="noConversion"/>
  </si>
  <si>
    <t>산출내역</t>
    <phoneticPr fontId="3" type="noConversion"/>
  </si>
  <si>
    <t>암파쇄 브레이카 (보통암)</t>
  </si>
  <si>
    <t>브레이카 (무근 : t = 30㎝ 미만)</t>
  </si>
  <si>
    <t>브레이카 (무근 : t = 30㎝ 이상)</t>
  </si>
  <si>
    <t>운전수</t>
  </si>
  <si>
    <t>조  수</t>
  </si>
  <si>
    <t>조  장</t>
  </si>
  <si>
    <t>13ton(습지) 무한궤도</t>
  </si>
  <si>
    <t>규                 격</t>
  </si>
  <si>
    <t>원수</t>
  </si>
  <si>
    <t>단  가</t>
  </si>
  <si>
    <t>못</t>
  </si>
  <si>
    <t>받침철물</t>
  </si>
  <si>
    <t>되메우기(토사,백호)</t>
  </si>
  <si>
    <t>성토다짐(토사:도져+양족식견인)</t>
  </si>
  <si>
    <t>성토다짐:95%(토사:양족식자주식)</t>
  </si>
  <si>
    <t>성토다짐(점토:양족식자주식)</t>
  </si>
  <si>
    <t>수평 규준틀(귀)</t>
  </si>
  <si>
    <t>철근 가공비(보통구조)</t>
  </si>
  <si>
    <t>철근 가공비(복잡구조)</t>
  </si>
  <si>
    <t>철근 가공비(소형, 보통)</t>
  </si>
  <si>
    <t>철근 가공비(소형, 복잡)</t>
  </si>
  <si>
    <t>난간 설치 (스텐레스)</t>
  </si>
  <si>
    <t>1ton</t>
  </si>
  <si>
    <t>0.038*17/1000</t>
  </si>
  <si>
    <t>터파기(사질토)</t>
  </si>
  <si>
    <t>터파기(혼전석)</t>
  </si>
  <si>
    <t>공          종        명</t>
  </si>
  <si>
    <t>단 위</t>
  </si>
  <si>
    <t>풍화암</t>
  </si>
  <si>
    <t>보통암</t>
  </si>
  <si>
    <t>비                  고</t>
    <phoneticPr fontId="3" type="noConversion"/>
  </si>
  <si>
    <t>구멍뚫기</t>
    <phoneticPr fontId="3" type="noConversion"/>
  </si>
  <si>
    <t>천공(구멍뚫기)</t>
    <phoneticPr fontId="3" type="noConversion"/>
  </si>
  <si>
    <t>15 / 50</t>
    <phoneticPr fontId="3" type="noConversion"/>
  </si>
  <si>
    <t>사   업   계   획   개   요</t>
    <phoneticPr fontId="3" type="noConversion"/>
  </si>
  <si>
    <t>목        적</t>
    <phoneticPr fontId="3" type="noConversion"/>
  </si>
  <si>
    <t>구        역</t>
    <phoneticPr fontId="3" type="noConversion"/>
  </si>
  <si>
    <t>면        적</t>
    <phoneticPr fontId="3" type="noConversion"/>
  </si>
  <si>
    <t>ha</t>
    <phoneticPr fontId="3" type="noConversion"/>
  </si>
  <si>
    <t>공 사 개 요</t>
    <phoneticPr fontId="3" type="noConversion"/>
  </si>
  <si>
    <t>구    분</t>
    <phoneticPr fontId="3" type="noConversion"/>
  </si>
  <si>
    <t>비  고</t>
    <phoneticPr fontId="3" type="noConversion"/>
  </si>
  <si>
    <t>사   업   비</t>
    <phoneticPr fontId="3" type="noConversion"/>
  </si>
  <si>
    <t>사 업 효 과</t>
    <phoneticPr fontId="3" type="noConversion"/>
  </si>
  <si>
    <t>공 사 기 간</t>
    <phoneticPr fontId="3" type="noConversion"/>
  </si>
  <si>
    <t>산업안전보건관리비</t>
    <phoneticPr fontId="3" type="noConversion"/>
  </si>
  <si>
    <t>되메우기</t>
  </si>
  <si>
    <t>q = 1.00 ton</t>
  </si>
  <si>
    <t>t = 11.00 분</t>
  </si>
  <si>
    <t>◈ 철재 싣고 부리기</t>
  </si>
  <si>
    <t>◈ 철재 운반</t>
  </si>
  <si>
    <t>타이어 로우더 : 2.29 ㎥</t>
  </si>
  <si>
    <t>덤   프 15.00 ton</t>
  </si>
  <si>
    <t>◈ 모래 싣고 부리기</t>
  </si>
  <si>
    <t>가</t>
  </si>
  <si>
    <t>격</t>
  </si>
  <si>
    <t>품     명</t>
  </si>
  <si>
    <t>잡철물 제작</t>
  </si>
  <si>
    <t>브레이카</t>
  </si>
  <si>
    <t>0.7㎥</t>
  </si>
  <si>
    <t>덤프트럭</t>
  </si>
  <si>
    <t xml:space="preserve">      10.5 ton</t>
  </si>
  <si>
    <t>아세칠렌</t>
  </si>
  <si>
    <t>조</t>
  </si>
  <si>
    <t>규   격</t>
  </si>
  <si>
    <t>경   비</t>
  </si>
  <si>
    <t>부    기</t>
  </si>
  <si>
    <t>1.5ton</t>
    <phoneticPr fontId="3" type="noConversion"/>
  </si>
  <si>
    <t>7 ton</t>
    <phoneticPr fontId="3" type="noConversion"/>
  </si>
  <si>
    <t>19 ton</t>
    <phoneticPr fontId="3" type="noConversion"/>
  </si>
  <si>
    <t>인</t>
  </si>
  <si>
    <t>보통인부</t>
  </si>
  <si>
    <t>(분)</t>
  </si>
  <si>
    <t>경         비</t>
  </si>
  <si>
    <t>규          격</t>
  </si>
  <si>
    <t>＄</t>
  </si>
  <si>
    <t>\</t>
  </si>
  <si>
    <t>부                    기</t>
  </si>
  <si>
    <t>불도우저</t>
  </si>
  <si>
    <t>3.6 m</t>
  </si>
  <si>
    <t>0.4㎥(보통) 무한궤도</t>
  </si>
  <si>
    <t>0.7㎥(보통) 무한궤도</t>
  </si>
  <si>
    <t>로 우 더</t>
  </si>
  <si>
    <t xml:space="preserve">1.34㎥(타이어) </t>
  </si>
  <si>
    <t>용접기손료</t>
  </si>
  <si>
    <t>전  력</t>
  </si>
  <si>
    <t>kwh</t>
  </si>
  <si>
    <t>운반비</t>
  </si>
  <si>
    <t>◈ 선별 및 집석(백호)</t>
  </si>
  <si>
    <t>◈ 되메우기 (백호)</t>
  </si>
  <si>
    <t>◈ 뒷채움 (백호)</t>
  </si>
  <si>
    <t>◈ 고르고 다짐 (토사 : 도져 + 양족식 견인)</t>
  </si>
  <si>
    <t>양족식 로울러</t>
  </si>
  <si>
    <t>◈ 고르고 다짐 (95 %)</t>
  </si>
  <si>
    <t>19.00 ton</t>
  </si>
  <si>
    <t>◈ 고르고 다짐 (양족식 자주식)</t>
  </si>
  <si>
    <t>◈ 콤펙트  다짐</t>
  </si>
  <si>
    <t>콤 펙 트</t>
  </si>
  <si>
    <t>◈ 철근 구조물 콘크리트 타설</t>
  </si>
  <si>
    <t>콘크리트 펌프차</t>
  </si>
  <si>
    <t>◈ 무근 구조물 콘크리트 타설</t>
  </si>
  <si>
    <t>◈ 사석 투하 고르기</t>
  </si>
  <si>
    <t>보통인부</t>
    <phoneticPr fontId="3" type="noConversion"/>
  </si>
  <si>
    <t>기초단가일람</t>
    <phoneticPr fontId="3" type="noConversion"/>
  </si>
  <si>
    <t>고철</t>
    <phoneticPr fontId="3" type="noConversion"/>
  </si>
  <si>
    <t>트레일러</t>
    <phoneticPr fontId="3" type="noConversion"/>
  </si>
  <si>
    <t>용접공</t>
    <phoneticPr fontId="3" type="noConversion"/>
  </si>
  <si>
    <t>특별인부</t>
    <phoneticPr fontId="3" type="noConversion"/>
  </si>
  <si>
    <t>형틀목공</t>
    <phoneticPr fontId="3" type="noConversion"/>
  </si>
  <si>
    <t>고무링</t>
    <phoneticPr fontId="3" type="noConversion"/>
  </si>
  <si>
    <t>철판</t>
    <phoneticPr fontId="3" type="noConversion"/>
  </si>
  <si>
    <t>평강</t>
    <phoneticPr fontId="3" type="noConversion"/>
  </si>
  <si>
    <t>철근</t>
    <phoneticPr fontId="3" type="noConversion"/>
  </si>
  <si>
    <t>산소</t>
    <phoneticPr fontId="3" type="noConversion"/>
  </si>
  <si>
    <t>PE 관</t>
    <phoneticPr fontId="3" type="noConversion"/>
  </si>
  <si>
    <t>D=500mm</t>
  </si>
  <si>
    <t>D=400mm</t>
  </si>
  <si>
    <t>D=300mm</t>
  </si>
  <si>
    <t>D=250mm</t>
  </si>
  <si>
    <t>D=200mm</t>
  </si>
  <si>
    <t>D=150mm</t>
  </si>
  <si>
    <t>(ton, m3,본)</t>
    <phoneticPr fontId="3" type="noConversion"/>
  </si>
  <si>
    <t>D150mm L=6m</t>
    <phoneticPr fontId="3" type="noConversion"/>
  </si>
  <si>
    <t>D200mm L=6m</t>
    <phoneticPr fontId="3" type="noConversion"/>
  </si>
  <si>
    <t>D250mm L=6m</t>
    <phoneticPr fontId="3" type="noConversion"/>
  </si>
  <si>
    <t>D300mm L=6m</t>
    <phoneticPr fontId="3" type="noConversion"/>
  </si>
  <si>
    <t>D400mm L=6m</t>
    <phoneticPr fontId="3" type="noConversion"/>
  </si>
  <si>
    <t>꽂이쇠</t>
  </si>
  <si>
    <t>건설기계사용료</t>
    <phoneticPr fontId="3" type="noConversion"/>
  </si>
  <si>
    <t>층따기(사질토)</t>
  </si>
  <si>
    <t>콤팩터다짐 프레이트콤팩터</t>
  </si>
  <si>
    <t>가체절 흙깍기</t>
  </si>
  <si>
    <t>가체절 흙헐기</t>
  </si>
  <si>
    <t>연암</t>
  </si>
  <si>
    <t>T=30㎝미만</t>
  </si>
  <si>
    <t>T=30㎝이상</t>
  </si>
  <si>
    <t>㎥/h</t>
  </si>
  <si>
    <t>경        비</t>
  </si>
  <si>
    <t>치       수</t>
  </si>
  <si>
    <t>단     가</t>
  </si>
  <si>
    <t>금     액</t>
  </si>
  <si>
    <t xml:space="preserve"> ton</t>
  </si>
  <si>
    <t>바이브레이타</t>
  </si>
  <si>
    <t>브레이카 (철근 : t = 30㎝ 미만)</t>
  </si>
  <si>
    <t>브레이카 (철근 : t = 30㎝ 이상)</t>
  </si>
  <si>
    <t>-모우터 그레이더</t>
  </si>
  <si>
    <t>도로자갈부설</t>
  </si>
  <si>
    <t>불도겨</t>
  </si>
  <si>
    <t>㎥</t>
    <phoneticPr fontId="3" type="noConversion"/>
  </si>
  <si>
    <t>호표</t>
  </si>
  <si>
    <t>산출내역</t>
    <phoneticPr fontId="3" type="noConversion"/>
  </si>
  <si>
    <t xml:space="preserve">a = t3 / 450 * 9인 * 1 / T = </t>
    <phoneticPr fontId="3" type="noConversion"/>
  </si>
  <si>
    <t xml:space="preserve">ℓ = </t>
    <phoneticPr fontId="3" type="noConversion"/>
  </si>
  <si>
    <t>m</t>
    <phoneticPr fontId="3" type="noConversion"/>
  </si>
  <si>
    <t>q=</t>
    <phoneticPr fontId="3" type="noConversion"/>
  </si>
  <si>
    <t>ton     f =</t>
    <phoneticPr fontId="3" type="noConversion"/>
  </si>
  <si>
    <t>E=</t>
    <phoneticPr fontId="3" type="noConversion"/>
  </si>
  <si>
    <t xml:space="preserve">V1 = </t>
    <phoneticPr fontId="3" type="noConversion"/>
  </si>
  <si>
    <t>V₂=</t>
    <phoneticPr fontId="3" type="noConversion"/>
  </si>
  <si>
    <t xml:space="preserve">t= </t>
    <phoneticPr fontId="3" type="noConversion"/>
  </si>
  <si>
    <t xml:space="preserve">cm = ℓ/ V1 + ℓ/ V2 + t = </t>
    <phoneticPr fontId="3" type="noConversion"/>
  </si>
  <si>
    <t>분</t>
    <phoneticPr fontId="3" type="noConversion"/>
  </si>
  <si>
    <t xml:space="preserve">유류대 보정 계수 = (cm - t) / cm = </t>
    <phoneticPr fontId="3" type="noConversion"/>
  </si>
  <si>
    <t xml:space="preserve">Q = 60.00 * q * f * E / cm = </t>
    <phoneticPr fontId="3" type="noConversion"/>
  </si>
  <si>
    <t>ton/hr</t>
    <phoneticPr fontId="3" type="noConversion"/>
  </si>
  <si>
    <t xml:space="preserve">t = </t>
    <phoneticPr fontId="3" type="noConversion"/>
  </si>
  <si>
    <t xml:space="preserve">분     </t>
    <phoneticPr fontId="3" type="noConversion"/>
  </si>
  <si>
    <t xml:space="preserve">         q =</t>
    <phoneticPr fontId="3" type="noConversion"/>
  </si>
  <si>
    <t xml:space="preserve">f = </t>
    <phoneticPr fontId="3" type="noConversion"/>
  </si>
  <si>
    <t>a = t / 450.00 * 2인 * 1 / q *1 / f =</t>
    <phoneticPr fontId="3" type="noConversion"/>
  </si>
  <si>
    <t>◈ 철근 하차입고</t>
    <phoneticPr fontId="3" type="noConversion"/>
  </si>
  <si>
    <t xml:space="preserve">T = </t>
    <phoneticPr fontId="3" type="noConversion"/>
  </si>
  <si>
    <t xml:space="preserve">t3 = T / 50 * 0.82 * 1 / 5 = </t>
    <phoneticPr fontId="3" type="noConversion"/>
  </si>
  <si>
    <t>q =</t>
    <phoneticPr fontId="3" type="noConversion"/>
  </si>
  <si>
    <t>ton       f =</t>
    <phoneticPr fontId="3" type="noConversion"/>
  </si>
  <si>
    <t xml:space="preserve">E = </t>
    <phoneticPr fontId="3" type="noConversion"/>
  </si>
  <si>
    <t xml:space="preserve">V2 = </t>
    <phoneticPr fontId="3" type="noConversion"/>
  </si>
  <si>
    <t xml:space="preserve">cm   =   ℓ / V1  +  ℓ / V2 + t = </t>
    <phoneticPr fontId="3" type="noConversion"/>
  </si>
  <si>
    <t xml:space="preserve">Q = 60.0 * q * f * E/cm = </t>
    <phoneticPr fontId="3" type="noConversion"/>
  </si>
  <si>
    <t xml:space="preserve">분    </t>
    <phoneticPr fontId="3" type="noConversion"/>
  </si>
  <si>
    <t xml:space="preserve">  a = t / 450 * 2인 * 1 / q * 1 / f = </t>
    <phoneticPr fontId="3" type="noConversion"/>
  </si>
  <si>
    <t xml:space="preserve">a = t3 / 450 * 7인 * 1 / q = </t>
    <phoneticPr fontId="3" type="noConversion"/>
  </si>
  <si>
    <t xml:space="preserve">q = </t>
    <phoneticPr fontId="3" type="noConversion"/>
  </si>
  <si>
    <t>V1 =</t>
    <phoneticPr fontId="3" type="noConversion"/>
  </si>
  <si>
    <t xml:space="preserve">cm = ℓ / V1 + ℓ / V2 + t= </t>
    <phoneticPr fontId="3" type="noConversion"/>
  </si>
  <si>
    <t>유류대 보정 계수 = (cm - t) / cm =</t>
    <phoneticPr fontId="3" type="noConversion"/>
  </si>
  <si>
    <t>소켓식흄관고무링접합 D600</t>
    <phoneticPr fontId="3" type="noConversion"/>
  </si>
  <si>
    <t>25-180-12</t>
    <phoneticPr fontId="3" type="noConversion"/>
  </si>
  <si>
    <t>25-210-12</t>
    <phoneticPr fontId="3" type="noConversion"/>
  </si>
  <si>
    <t>25-240-12</t>
    <phoneticPr fontId="3" type="noConversion"/>
  </si>
  <si>
    <t xml:space="preserve">Q = 60.00 * q * f * E/ cm= </t>
    <phoneticPr fontId="3" type="noConversion"/>
  </si>
  <si>
    <t xml:space="preserve">a = t / 450 * 2인 * 1 / q * 1 / f = </t>
    <phoneticPr fontId="3" type="noConversion"/>
  </si>
  <si>
    <t xml:space="preserve">a = t3 / 450 * 7인 * 1 / T = </t>
    <phoneticPr fontId="3" type="noConversion"/>
  </si>
  <si>
    <t>E =</t>
    <phoneticPr fontId="3" type="noConversion"/>
  </si>
  <si>
    <t xml:space="preserve">cm =ℓ / V1 + ℓ / V2 + t = </t>
    <phoneticPr fontId="3" type="noConversion"/>
  </si>
  <si>
    <t>t=</t>
    <phoneticPr fontId="3" type="noConversion"/>
  </si>
  <si>
    <t>Q = 60.00 * q * f * E / cm =</t>
    <phoneticPr fontId="3" type="noConversion"/>
  </si>
  <si>
    <t xml:space="preserve">a = t / 450.00 * 2인 * 1 / q * 1 / f = </t>
    <phoneticPr fontId="3" type="noConversion"/>
  </si>
  <si>
    <t>◈ 모래적재</t>
    <phoneticPr fontId="3" type="noConversion"/>
  </si>
  <si>
    <t xml:space="preserve">K = </t>
    <phoneticPr fontId="3" type="noConversion"/>
  </si>
  <si>
    <t xml:space="preserve">Es = </t>
    <phoneticPr fontId="3" type="noConversion"/>
  </si>
  <si>
    <t xml:space="preserve">cms = </t>
    <phoneticPr fontId="3" type="noConversion"/>
  </si>
  <si>
    <t>sec</t>
    <phoneticPr fontId="3" type="noConversion"/>
  </si>
  <si>
    <t>◈ 모래운반</t>
    <phoneticPr fontId="3" type="noConversion"/>
  </si>
  <si>
    <t>KM</t>
    <phoneticPr fontId="3" type="noConversion"/>
  </si>
  <si>
    <t xml:space="preserve">L = </t>
    <phoneticPr fontId="3" type="noConversion"/>
  </si>
  <si>
    <t xml:space="preserve">rt = </t>
    <phoneticPr fontId="3" type="noConversion"/>
  </si>
  <si>
    <t>kg/㎥</t>
    <phoneticPr fontId="3" type="noConversion"/>
  </si>
  <si>
    <t xml:space="preserve">Qt = L * T / rt = </t>
    <phoneticPr fontId="3" type="noConversion"/>
  </si>
  <si>
    <t>f = 1 / 1 =</t>
    <phoneticPr fontId="3" type="noConversion"/>
  </si>
  <si>
    <t xml:space="preserve">n = Qt / (q * K) = </t>
    <phoneticPr fontId="3" type="noConversion"/>
  </si>
  <si>
    <t xml:space="preserve">t1 = cms * n  /  (Es * 60.00)  = </t>
    <phoneticPr fontId="3" type="noConversion"/>
  </si>
  <si>
    <t xml:space="preserve">t2 = (ℓ / V1 + ℓ / V2) * 60.00 = </t>
    <phoneticPr fontId="3" type="noConversion"/>
  </si>
  <si>
    <t>t3 =</t>
    <phoneticPr fontId="3" type="noConversion"/>
  </si>
  <si>
    <t xml:space="preserve">t4 = </t>
    <phoneticPr fontId="3" type="noConversion"/>
  </si>
  <si>
    <t xml:space="preserve">t5 = </t>
    <phoneticPr fontId="3" type="noConversion"/>
  </si>
  <si>
    <t xml:space="preserve">cm = t1 + t2 + t3 + t4  +t5 = </t>
    <phoneticPr fontId="3" type="noConversion"/>
  </si>
  <si>
    <t xml:space="preserve">Q = 60.00 * Qt * f * E * rt / cm = </t>
    <phoneticPr fontId="3" type="noConversion"/>
  </si>
  <si>
    <t xml:space="preserve">cm = ℓ / V1 + ℓ / V2 + t = </t>
    <phoneticPr fontId="3" type="noConversion"/>
  </si>
  <si>
    <t>a = t / 450.00 * 2인 * 1 / q*1 / f =</t>
    <phoneticPr fontId="3" type="noConversion"/>
  </si>
  <si>
    <t>◈ 자갈적재</t>
    <phoneticPr fontId="3" type="noConversion"/>
  </si>
  <si>
    <t>Es =</t>
    <phoneticPr fontId="3" type="noConversion"/>
  </si>
  <si>
    <t>◈ 자갈운반</t>
    <phoneticPr fontId="3" type="noConversion"/>
  </si>
  <si>
    <t xml:space="preserve"> kg/㎥</t>
    <phoneticPr fontId="3" type="noConversion"/>
  </si>
  <si>
    <t xml:space="preserve">Qt = T * L / rt = </t>
    <phoneticPr fontId="3" type="noConversion"/>
  </si>
  <si>
    <t xml:space="preserve">f = 1 / 1 = </t>
    <phoneticPr fontId="3" type="noConversion"/>
  </si>
  <si>
    <t xml:space="preserve">n = Qt / (q *k)= </t>
    <phoneticPr fontId="3" type="noConversion"/>
  </si>
  <si>
    <t>회</t>
    <phoneticPr fontId="3" type="noConversion"/>
  </si>
  <si>
    <t xml:space="preserve">t1 = cms * n / (Es * 60.00) = </t>
    <phoneticPr fontId="3" type="noConversion"/>
  </si>
  <si>
    <t xml:space="preserve">기초단가내역 </t>
    <phoneticPr fontId="3" type="noConversion"/>
  </si>
  <si>
    <t>재     료</t>
    <phoneticPr fontId="3" type="noConversion"/>
  </si>
  <si>
    <t>단위</t>
    <phoneticPr fontId="3" type="noConversion"/>
  </si>
  <si>
    <t>인력흙깎기</t>
    <phoneticPr fontId="3" type="noConversion"/>
  </si>
  <si>
    <t>인력터파기(보통토사)</t>
    <phoneticPr fontId="3" type="noConversion"/>
  </si>
  <si>
    <t>25kg급</t>
    <phoneticPr fontId="3" type="noConversion"/>
  </si>
  <si>
    <t>소비재</t>
    <phoneticPr fontId="3" type="noConversion"/>
  </si>
  <si>
    <t>노력비의 1%</t>
    <phoneticPr fontId="3" type="noConversion"/>
  </si>
  <si>
    <t>기계터파기(소형브레이카:보통암)</t>
    <phoneticPr fontId="3" type="noConversion"/>
  </si>
  <si>
    <t>백호 0.7</t>
    <phoneticPr fontId="3" type="noConversion"/>
  </si>
  <si>
    <t>인력되메우기(토사)</t>
    <phoneticPr fontId="3" type="noConversion"/>
  </si>
  <si>
    <t>되메우기</t>
    <phoneticPr fontId="3" type="noConversion"/>
  </si>
  <si>
    <t>뒷채움(토사,백호)</t>
    <phoneticPr fontId="3" type="noConversion"/>
  </si>
  <si>
    <t>콤펙터다짐</t>
    <phoneticPr fontId="3" type="noConversion"/>
  </si>
  <si>
    <t>줄떼(구입)</t>
    <phoneticPr fontId="3" type="noConversion"/>
  </si>
  <si>
    <t>평떼(구입)</t>
    <phoneticPr fontId="3" type="noConversion"/>
  </si>
  <si>
    <t>원형거푸집(재료비)</t>
    <phoneticPr fontId="3" type="noConversion"/>
  </si>
  <si>
    <t>0.05 * 77%</t>
    <phoneticPr fontId="3" type="noConversion"/>
  </si>
  <si>
    <t>0.053 * 77%</t>
    <phoneticPr fontId="3" type="noConversion"/>
  </si>
  <si>
    <t>원형거푸집(노무비)</t>
    <phoneticPr fontId="3" type="noConversion"/>
  </si>
  <si>
    <t>합판거푸집(재료비)</t>
    <phoneticPr fontId="3" type="noConversion"/>
  </si>
  <si>
    <t>합판거푸집(노무비)</t>
    <phoneticPr fontId="3" type="noConversion"/>
  </si>
  <si>
    <t>0.012 * 0.12 * 3.2</t>
    <phoneticPr fontId="3" type="noConversion"/>
  </si>
  <si>
    <t>수평규준틀(평)</t>
    <phoneticPr fontId="3" type="noConversion"/>
  </si>
  <si>
    <t>조립식 가설사무실 (재료비)</t>
    <phoneticPr fontId="3" type="noConversion"/>
  </si>
  <si>
    <t>내부PANEL(벽)</t>
    <phoneticPr fontId="3" type="noConversion"/>
  </si>
  <si>
    <t>내부PANEL(목재문)</t>
    <phoneticPr fontId="3" type="noConversion"/>
  </si>
  <si>
    <t>조립식 가설창고( 재료비)</t>
    <phoneticPr fontId="3" type="noConversion"/>
  </si>
  <si>
    <t>0.5mm color sheet 1.23</t>
    <phoneticPr fontId="3" type="noConversion"/>
  </si>
  <si>
    <t>조립식 가설사무실(인건비)</t>
    <phoneticPr fontId="3" type="noConversion"/>
  </si>
  <si>
    <t>조립식 가설창고(인건비)</t>
    <phoneticPr fontId="3" type="noConversion"/>
  </si>
  <si>
    <t>기계기구손료</t>
    <phoneticPr fontId="3" type="noConversion"/>
  </si>
  <si>
    <t>가공비의2%</t>
    <phoneticPr fontId="3" type="noConversion"/>
  </si>
  <si>
    <t>철근 가공비(간단구조)</t>
    <phoneticPr fontId="3" type="noConversion"/>
  </si>
  <si>
    <t>400C</t>
    <phoneticPr fontId="3" type="noConversion"/>
  </si>
  <si>
    <t>600C</t>
    <phoneticPr fontId="3" type="noConversion"/>
  </si>
  <si>
    <t>1000C</t>
    <phoneticPr fontId="3" type="noConversion"/>
  </si>
  <si>
    <t>800×800(800C)</t>
    <phoneticPr fontId="3" type="noConversion"/>
  </si>
  <si>
    <t>합   계</t>
    <phoneticPr fontId="3" type="noConversion"/>
  </si>
  <si>
    <t>m</t>
    <phoneticPr fontId="3" type="noConversion"/>
  </si>
  <si>
    <t>kg</t>
    <phoneticPr fontId="3" type="noConversion"/>
  </si>
  <si>
    <t>흄관</t>
    <phoneticPr fontId="3" type="noConversion"/>
  </si>
  <si>
    <t>조립식구조물설치 400C (300~500kg)</t>
    <phoneticPr fontId="3" type="noConversion"/>
  </si>
  <si>
    <t>조립식구조물설치 600C (700~900kg)</t>
    <phoneticPr fontId="3" type="noConversion"/>
  </si>
  <si>
    <t>조립식구조물설치 1000C (1150~1500kg)</t>
    <phoneticPr fontId="3" type="noConversion"/>
  </si>
  <si>
    <t>조립식구조물설치(400C 300~500kg)</t>
    <phoneticPr fontId="3" type="noConversion"/>
  </si>
  <si>
    <t>조립식구조물설치(600C 700~900kg)</t>
    <phoneticPr fontId="3" type="noConversion"/>
  </si>
  <si>
    <t>철근콘크리트수로관 400C</t>
    <phoneticPr fontId="3" type="noConversion"/>
  </si>
  <si>
    <t>철근콘크리트수로관 600C</t>
    <phoneticPr fontId="3" type="noConversion"/>
  </si>
  <si>
    <t>철근콘크리트수로관 1000C</t>
    <phoneticPr fontId="3" type="noConversion"/>
  </si>
  <si>
    <t>지수활제</t>
    <phoneticPr fontId="3" type="noConversion"/>
  </si>
  <si>
    <t>콘크리트관 지수 및 윤활용</t>
    <phoneticPr fontId="3" type="noConversion"/>
  </si>
  <si>
    <t>1본</t>
    <phoneticPr fontId="3" type="noConversion"/>
  </si>
  <si>
    <t>트럭탑제형크레인</t>
    <phoneticPr fontId="3" type="noConversion"/>
  </si>
  <si>
    <t>배관공</t>
    <phoneticPr fontId="3" type="noConversion"/>
  </si>
  <si>
    <t>보통인부</t>
    <phoneticPr fontId="3" type="noConversion"/>
  </si>
  <si>
    <t>흄관운반비</t>
    <phoneticPr fontId="3" type="noConversion"/>
  </si>
  <si>
    <t>10TON</t>
    <phoneticPr fontId="3" type="noConversion"/>
  </si>
  <si>
    <t>HR</t>
    <phoneticPr fontId="3" type="noConversion"/>
  </si>
  <si>
    <t>인</t>
    <phoneticPr fontId="3" type="noConversion"/>
  </si>
  <si>
    <t>이중벽관</t>
    <phoneticPr fontId="3" type="noConversion"/>
  </si>
  <si>
    <t>m</t>
    <phoneticPr fontId="3" type="noConversion"/>
  </si>
  <si>
    <t>배 관 공</t>
    <phoneticPr fontId="3" type="noConversion"/>
  </si>
  <si>
    <t>보통인부</t>
    <phoneticPr fontId="3" type="noConversion"/>
  </si>
  <si>
    <t>1m</t>
    <phoneticPr fontId="3" type="noConversion"/>
  </si>
  <si>
    <t>이중벽PE관</t>
    <phoneticPr fontId="3" type="noConversion"/>
  </si>
  <si>
    <t>D150</t>
    <phoneticPr fontId="3" type="noConversion"/>
  </si>
  <si>
    <t>m</t>
    <phoneticPr fontId="3" type="noConversion"/>
  </si>
  <si>
    <t>철근콘크리트수로관 부설(400*400)</t>
    <phoneticPr fontId="3" type="noConversion"/>
  </si>
  <si>
    <t>철근콘크리트수로관 부설(1000*1000)</t>
    <phoneticPr fontId="3" type="noConversion"/>
  </si>
  <si>
    <t>레미콘 : 철근(240-25)  10㎥이하</t>
    <phoneticPr fontId="3" type="noConversion"/>
  </si>
  <si>
    <t>소형구조물</t>
    <phoneticPr fontId="3" type="noConversion"/>
  </si>
  <si>
    <t xml:space="preserve">콘크리트타설(레미콘) 소형구조물  </t>
    <phoneticPr fontId="3" type="noConversion"/>
  </si>
  <si>
    <t>10㎥이하</t>
    <phoneticPr fontId="3" type="noConversion"/>
  </si>
  <si>
    <t xml:space="preserve">합판거푸집(6회) 10㎥ 미만 </t>
    <phoneticPr fontId="3" type="noConversion"/>
  </si>
  <si>
    <t>모르터(1 : 2)</t>
    <phoneticPr fontId="3" type="noConversion"/>
  </si>
  <si>
    <t>1 ㎥</t>
    <phoneticPr fontId="3" type="noConversion"/>
  </si>
  <si>
    <t>0.98*1.4</t>
    <phoneticPr fontId="3" type="noConversion"/>
  </si>
  <si>
    <t>모르터(1 : 3)</t>
    <phoneticPr fontId="3" type="noConversion"/>
  </si>
  <si>
    <t>방수모르터(1 : 3)</t>
    <phoneticPr fontId="3" type="noConversion"/>
  </si>
  <si>
    <t>진동기</t>
    <phoneticPr fontId="3" type="noConversion"/>
  </si>
  <si>
    <t>사리부설</t>
    <phoneticPr fontId="3" type="noConversion"/>
  </si>
  <si>
    <t>포설</t>
    <phoneticPr fontId="3" type="noConversion"/>
  </si>
  <si>
    <t>레미콘타설(LEAN) 10㎥이상</t>
    <phoneticPr fontId="3" type="noConversion"/>
  </si>
  <si>
    <t>레미콘타설(LEAN) 10㎥미만</t>
    <phoneticPr fontId="3" type="noConversion"/>
  </si>
  <si>
    <t>콘크리트다짐 10㎥미만</t>
    <phoneticPr fontId="3" type="noConversion"/>
  </si>
  <si>
    <t>콘크리트다짐 10㎥이상</t>
    <phoneticPr fontId="3" type="noConversion"/>
  </si>
  <si>
    <t>PE관 부설접합(버트융착식) D=100</t>
    <phoneticPr fontId="3" type="noConversion"/>
  </si>
  <si>
    <t>강판절단( t=3.2mm)</t>
    <phoneticPr fontId="3" type="noConversion"/>
  </si>
  <si>
    <t>아세칠렌</t>
    <phoneticPr fontId="3" type="noConversion"/>
  </si>
  <si>
    <t>강판절단( t=5.0mm)</t>
    <phoneticPr fontId="3" type="noConversion"/>
  </si>
  <si>
    <t>전기용접(fillet t=3.0mm)</t>
    <phoneticPr fontId="3" type="noConversion"/>
  </si>
  <si>
    <t>전력</t>
    <phoneticPr fontId="3" type="noConversion"/>
  </si>
  <si>
    <t>KWH</t>
    <phoneticPr fontId="3" type="noConversion"/>
  </si>
  <si>
    <t>0.014/0.3</t>
    <phoneticPr fontId="3" type="noConversion"/>
  </si>
  <si>
    <t>0.004/0.3</t>
    <phoneticPr fontId="3" type="noConversion"/>
  </si>
  <si>
    <t>전기용접(fillet t=5.0mm)</t>
    <phoneticPr fontId="3" type="noConversion"/>
  </si>
  <si>
    <t>0.01/0.3</t>
    <phoneticPr fontId="3" type="noConversion"/>
  </si>
  <si>
    <t>0.002/0.3</t>
    <phoneticPr fontId="3" type="noConversion"/>
  </si>
  <si>
    <t>조합페인트칠(모르터면)  3회</t>
    <phoneticPr fontId="3" type="noConversion"/>
  </si>
  <si>
    <t>소모재료비</t>
    <phoneticPr fontId="3" type="noConversion"/>
  </si>
  <si>
    <t>주재료비의 5%</t>
    <phoneticPr fontId="3" type="noConversion"/>
  </si>
  <si>
    <t>조합페인트칠(철재면)  2회</t>
    <phoneticPr fontId="3" type="noConversion"/>
  </si>
  <si>
    <t>방청페인트</t>
    <phoneticPr fontId="3" type="noConversion"/>
  </si>
  <si>
    <t>(단위:원)</t>
    <phoneticPr fontId="3" type="noConversion"/>
  </si>
  <si>
    <t>잡철물 제작 설치</t>
    <phoneticPr fontId="3" type="noConversion"/>
  </si>
  <si>
    <t>6300 / 6000</t>
    <phoneticPr fontId="3" type="noConversion"/>
  </si>
  <si>
    <t xml:space="preserve">t2 = ℓ / V1 + ℓ / V2 * 60.00 = </t>
    <phoneticPr fontId="3" type="noConversion"/>
  </si>
  <si>
    <t xml:space="preserve">t3 = </t>
    <phoneticPr fontId="3" type="noConversion"/>
  </si>
  <si>
    <t>t5 =</t>
    <phoneticPr fontId="3" type="noConversion"/>
  </si>
  <si>
    <t xml:space="preserve">  cm  =  t1 + t2 + t3 + t4 + t5  = </t>
    <phoneticPr fontId="3" type="noConversion"/>
  </si>
  <si>
    <t xml:space="preserve">Q = 60 * Qt * f * E * rt / cm = </t>
    <phoneticPr fontId="3" type="noConversion"/>
  </si>
  <si>
    <t>◈ 자갈 싣고부리기</t>
    <phoneticPr fontId="3" type="noConversion"/>
  </si>
  <si>
    <t>◈조약돌 적재</t>
    <phoneticPr fontId="3" type="noConversion"/>
  </si>
  <si>
    <t>K =</t>
    <phoneticPr fontId="3" type="noConversion"/>
  </si>
  <si>
    <t>◈ 조약돌 운반</t>
    <phoneticPr fontId="3" type="noConversion"/>
  </si>
  <si>
    <t>KG      L=</t>
    <phoneticPr fontId="3" type="noConversion"/>
  </si>
  <si>
    <t>㎥       E=</t>
    <phoneticPr fontId="3" type="noConversion"/>
  </si>
  <si>
    <t xml:space="preserve">n = Qt / (q * k) = </t>
    <phoneticPr fontId="3" type="noConversion"/>
  </si>
  <si>
    <t xml:space="preserve">t1=cms * n/(Es×60) = </t>
    <phoneticPr fontId="3" type="noConversion"/>
  </si>
  <si>
    <t xml:space="preserve">t2 = ℓ / V1 + ℓ / V2 * 60 = </t>
    <phoneticPr fontId="3" type="noConversion"/>
  </si>
  <si>
    <t>cm = t1 + t2 + t3 + t4 + t5 =</t>
    <phoneticPr fontId="3" type="noConversion"/>
  </si>
  <si>
    <t xml:space="preserve">Q = 60 * Qt * f * E / cm = </t>
    <phoneticPr fontId="3" type="noConversion"/>
  </si>
  <si>
    <t>◈조약돌 운반</t>
    <phoneticPr fontId="3" type="noConversion"/>
  </si>
  <si>
    <t>경운기  ℓ=</t>
    <phoneticPr fontId="3" type="noConversion"/>
  </si>
  <si>
    <t xml:space="preserve">q = 1,000 * L / rt = </t>
    <phoneticPr fontId="3" type="noConversion"/>
  </si>
  <si>
    <t>f = 1.07/1.15=</t>
    <phoneticPr fontId="3" type="noConversion"/>
  </si>
  <si>
    <t xml:space="preserve">Q = 60 * q * f * E / cm = </t>
    <phoneticPr fontId="3" type="noConversion"/>
  </si>
  <si>
    <t>◈조약돌 싣고 부리기</t>
    <phoneticPr fontId="3" type="noConversion"/>
  </si>
  <si>
    <t>rt = 1,700 kg</t>
    <phoneticPr fontId="3" type="noConversion"/>
  </si>
  <si>
    <t>a = t / 450 * 2인 * 1 / q * 1 / f =</t>
    <phoneticPr fontId="3" type="noConversion"/>
  </si>
  <si>
    <t>소    계</t>
    <phoneticPr fontId="3" type="noConversion"/>
  </si>
  <si>
    <t>◈사석적재</t>
    <phoneticPr fontId="3" type="noConversion"/>
  </si>
  <si>
    <t>백호우  1.0㎥</t>
    <phoneticPr fontId="3" type="noConversion"/>
  </si>
  <si>
    <t>㎥         K=</t>
    <phoneticPr fontId="3" type="noConversion"/>
  </si>
  <si>
    <t>◈사석운반</t>
    <phoneticPr fontId="3" type="noConversion"/>
  </si>
  <si>
    <t>Km</t>
    <phoneticPr fontId="3" type="noConversion"/>
  </si>
  <si>
    <t xml:space="preserve">kg          L = </t>
    <phoneticPr fontId="3" type="noConversion"/>
  </si>
  <si>
    <t>f= 1 / 1.12 =</t>
    <phoneticPr fontId="3" type="noConversion"/>
  </si>
  <si>
    <t xml:space="preserve">t1=cms*n/ Es / 60 = </t>
    <phoneticPr fontId="3" type="noConversion"/>
  </si>
  <si>
    <t>분       유류대보정계수 = t2 / ㎝=</t>
    <phoneticPr fontId="3" type="noConversion"/>
  </si>
  <si>
    <t>t1 +t3=</t>
    <phoneticPr fontId="3" type="noConversion"/>
  </si>
  <si>
    <t>t4 =</t>
    <phoneticPr fontId="3" type="noConversion"/>
  </si>
  <si>
    <t xml:space="preserve">cm = t1 + t2 + t3 + t4 + t5 = </t>
    <phoneticPr fontId="3" type="noConversion"/>
  </si>
  <si>
    <t>f = 1.0/1.12=</t>
    <phoneticPr fontId="3" type="noConversion"/>
  </si>
  <si>
    <t>◈사석 싣고부리기</t>
    <phoneticPr fontId="3" type="noConversion"/>
  </si>
  <si>
    <t>rt = 1,900 kg</t>
    <phoneticPr fontId="3" type="noConversion"/>
  </si>
  <si>
    <t>L = 1.12</t>
    <phoneticPr fontId="3" type="noConversion"/>
  </si>
  <si>
    <t>◈ 수로관, 흄관, PE관 운반</t>
    <phoneticPr fontId="3" type="noConversion"/>
  </si>
  <si>
    <t>구분</t>
    <phoneticPr fontId="3" type="noConversion"/>
  </si>
  <si>
    <t>규격</t>
    <phoneticPr fontId="3" type="noConversion"/>
  </si>
  <si>
    <t>적재량(본)</t>
    <phoneticPr fontId="3" type="noConversion"/>
  </si>
  <si>
    <t>Cm(분)</t>
    <phoneticPr fontId="3" type="noConversion"/>
  </si>
  <si>
    <t>f</t>
    <phoneticPr fontId="3" type="noConversion"/>
  </si>
  <si>
    <t>E</t>
    <phoneticPr fontId="3" type="noConversion"/>
  </si>
  <si>
    <t>Q</t>
    <phoneticPr fontId="3" type="noConversion"/>
  </si>
  <si>
    <t>적하인부</t>
    <phoneticPr fontId="3" type="noConversion"/>
  </si>
  <si>
    <t>부리기인부</t>
    <phoneticPr fontId="3" type="noConversion"/>
  </si>
  <si>
    <t>흄관</t>
    <phoneticPr fontId="3" type="noConversion"/>
  </si>
  <si>
    <t>D=600mm</t>
    <phoneticPr fontId="3" type="noConversion"/>
  </si>
  <si>
    <t>코아드릴빗트</t>
    <phoneticPr fontId="3" type="noConversion"/>
  </si>
  <si>
    <t>D150 다이아몬드</t>
    <phoneticPr fontId="3" type="noConversion"/>
  </si>
  <si>
    <t>D200 다이아몬드</t>
    <phoneticPr fontId="3" type="noConversion"/>
  </si>
  <si>
    <t>개</t>
    <phoneticPr fontId="3" type="noConversion"/>
  </si>
  <si>
    <t>수로관 천공 및 접합(D150)</t>
    <phoneticPr fontId="3" type="noConversion"/>
  </si>
  <si>
    <t>1개소</t>
    <phoneticPr fontId="3" type="noConversion"/>
  </si>
  <si>
    <t>모르터</t>
    <phoneticPr fontId="3" type="noConversion"/>
  </si>
  <si>
    <t>1:2</t>
    <phoneticPr fontId="3" type="noConversion"/>
  </si>
  <si>
    <t>하수관천공기(수동식)</t>
    <phoneticPr fontId="3" type="noConversion"/>
  </si>
  <si>
    <t>㎥</t>
    <phoneticPr fontId="3" type="noConversion"/>
  </si>
  <si>
    <t>수로관 천공 및 접합(D200)</t>
    <phoneticPr fontId="3" type="noConversion"/>
  </si>
  <si>
    <t>개소</t>
    <phoneticPr fontId="3" type="noConversion"/>
  </si>
  <si>
    <t>□ 단가내역</t>
    <phoneticPr fontId="3" type="noConversion"/>
  </si>
  <si>
    <t xml:space="preserve">□  단 가 일 람   </t>
    <phoneticPr fontId="3" type="noConversion"/>
  </si>
  <si>
    <t>수로관</t>
    <phoneticPr fontId="3" type="noConversion"/>
  </si>
  <si>
    <t>400*400</t>
    <phoneticPr fontId="3" type="noConversion"/>
  </si>
  <si>
    <t>500*500</t>
    <phoneticPr fontId="3" type="noConversion"/>
  </si>
  <si>
    <t>600*500</t>
    <phoneticPr fontId="3" type="noConversion"/>
  </si>
  <si>
    <t>600*600</t>
    <phoneticPr fontId="3" type="noConversion"/>
  </si>
  <si>
    <t>800*700</t>
    <phoneticPr fontId="3" type="noConversion"/>
  </si>
  <si>
    <t>인력운반</t>
    <phoneticPr fontId="3" type="noConversion"/>
  </si>
  <si>
    <t>N=V*450/(120*L+V*t)=</t>
    <phoneticPr fontId="3" type="noConversion"/>
  </si>
  <si>
    <t>Q=N*q</t>
    <phoneticPr fontId="3" type="noConversion"/>
  </si>
  <si>
    <t>A=M/Q</t>
    <phoneticPr fontId="3" type="noConversion"/>
  </si>
  <si>
    <t>V</t>
    <phoneticPr fontId="3" type="noConversion"/>
  </si>
  <si>
    <t>N</t>
    <phoneticPr fontId="3" type="noConversion"/>
  </si>
  <si>
    <t>q</t>
    <phoneticPr fontId="3" type="noConversion"/>
  </si>
  <si>
    <t>M</t>
    <phoneticPr fontId="3" type="noConversion"/>
  </si>
  <si>
    <t>A</t>
    <phoneticPr fontId="3" type="noConversion"/>
  </si>
  <si>
    <t>비고</t>
    <phoneticPr fontId="3" type="noConversion"/>
  </si>
  <si>
    <t>철근콘크리트수로관 해체 300C</t>
    <phoneticPr fontId="3" type="noConversion"/>
  </si>
  <si>
    <t>철근콘크리트수로관 해체(300*300)</t>
    <phoneticPr fontId="3" type="noConversion"/>
  </si>
  <si>
    <t>소켓식흄관고무링접합 D400</t>
    <phoneticPr fontId="3" type="noConversion"/>
  </si>
  <si>
    <t>D400</t>
    <phoneticPr fontId="3" type="noConversion"/>
  </si>
  <si>
    <t>소켓식흄관고무링접합 D500</t>
    <phoneticPr fontId="3" type="noConversion"/>
  </si>
  <si>
    <t>D600</t>
    <phoneticPr fontId="3" type="noConversion"/>
  </si>
  <si>
    <t>D500</t>
    <phoneticPr fontId="3" type="noConversion"/>
  </si>
  <si>
    <t>소켓식흄관고무링접합 D300</t>
    <phoneticPr fontId="3" type="noConversion"/>
  </si>
  <si>
    <t>D300</t>
    <phoneticPr fontId="3" type="noConversion"/>
  </si>
  <si>
    <t>철근콘크리트수로관 해체 500C</t>
    <phoneticPr fontId="3" type="noConversion"/>
  </si>
  <si>
    <t>철근콘크리트수로관 해체 600C</t>
    <phoneticPr fontId="3" type="noConversion"/>
  </si>
  <si>
    <t>철근콘크리트수로관 해체(500*500)</t>
    <phoneticPr fontId="3" type="noConversion"/>
  </si>
  <si>
    <t>철근콘크리트수로관 해체(600*600)</t>
    <phoneticPr fontId="3" type="noConversion"/>
  </si>
  <si>
    <t>소켓식흄관고무링접합 D800</t>
    <phoneticPr fontId="3" type="noConversion"/>
  </si>
  <si>
    <t>D800</t>
    <phoneticPr fontId="3" type="noConversion"/>
  </si>
  <si>
    <t xml:space="preserve"> </t>
    <phoneticPr fontId="3" type="noConversion"/>
  </si>
  <si>
    <t>멀티파이프죠인트(보수용)</t>
    <phoneticPr fontId="3" type="noConversion"/>
  </si>
  <si>
    <t>D200(RCH-L)</t>
    <phoneticPr fontId="3" type="noConversion"/>
  </si>
  <si>
    <t>멀티파이프조인트</t>
    <phoneticPr fontId="3" type="noConversion"/>
  </si>
  <si>
    <t>D200(보수용)</t>
    <phoneticPr fontId="3" type="noConversion"/>
  </si>
  <si>
    <t>개</t>
    <phoneticPr fontId="3" type="noConversion"/>
  </si>
  <si>
    <t>1개소</t>
    <phoneticPr fontId="3" type="noConversion"/>
  </si>
  <si>
    <t>PE관 보수 D200</t>
    <phoneticPr fontId="3" type="noConversion"/>
  </si>
  <si>
    <t>1일</t>
    <phoneticPr fontId="3" type="noConversion"/>
  </si>
  <si>
    <t>양수기</t>
    <phoneticPr fontId="3" type="noConversion"/>
  </si>
  <si>
    <t>HR</t>
    <phoneticPr fontId="3" type="noConversion"/>
  </si>
  <si>
    <t>5HP(혼합)</t>
    <phoneticPr fontId="3" type="noConversion"/>
  </si>
  <si>
    <t>운전사(기계)</t>
    <phoneticPr fontId="3" type="noConversion"/>
  </si>
  <si>
    <t>잡재료</t>
    <phoneticPr fontId="3" type="noConversion"/>
  </si>
  <si>
    <t>합계의 1%</t>
    <phoneticPr fontId="3" type="noConversion"/>
  </si>
  <si>
    <t>인</t>
    <phoneticPr fontId="3" type="noConversion"/>
  </si>
  <si>
    <t>일</t>
    <phoneticPr fontId="3" type="noConversion"/>
  </si>
  <si>
    <t>물푸기(5HP, 1개소 1대)</t>
    <phoneticPr fontId="3" type="noConversion"/>
  </si>
  <si>
    <t>물푸기(펌프설치 및 해체)</t>
    <phoneticPr fontId="3" type="noConversion"/>
  </si>
  <si>
    <t>작업반장</t>
    <phoneticPr fontId="3" type="noConversion"/>
  </si>
  <si>
    <t>1대</t>
    <phoneticPr fontId="3" type="noConversion"/>
  </si>
  <si>
    <t>240-25-12</t>
    <phoneticPr fontId="3" type="noConversion"/>
  </si>
  <si>
    <t>210-25-12</t>
    <phoneticPr fontId="3" type="noConversion"/>
  </si>
  <si>
    <t>1.24+1.84</t>
    <phoneticPr fontId="3" type="noConversion"/>
  </si>
  <si>
    <t>0.45+0.75</t>
    <phoneticPr fontId="3" type="noConversion"/>
  </si>
  <si>
    <t>1.51+1.92</t>
    <phoneticPr fontId="3" type="noConversion"/>
  </si>
  <si>
    <t>0.5+0.8</t>
    <phoneticPr fontId="3" type="noConversion"/>
  </si>
  <si>
    <t>1.07+1.69</t>
    <phoneticPr fontId="3" type="noConversion"/>
  </si>
  <si>
    <t>0.35+0.69</t>
    <phoneticPr fontId="3" type="noConversion"/>
  </si>
  <si>
    <t>1.24+2.76</t>
    <phoneticPr fontId="3" type="noConversion"/>
  </si>
  <si>
    <t>0.45+1.125</t>
    <phoneticPr fontId="3" type="noConversion"/>
  </si>
  <si>
    <t>1.51+2.88</t>
    <phoneticPr fontId="3" type="noConversion"/>
  </si>
  <si>
    <t>0.5+1.2</t>
    <phoneticPr fontId="3" type="noConversion"/>
  </si>
  <si>
    <t>유로폼(벽0~7m)</t>
    <phoneticPr fontId="3" type="noConversion"/>
  </si>
  <si>
    <t>○ 수    입</t>
    <phoneticPr fontId="3" type="noConversion"/>
  </si>
  <si>
    <t>(단위:천원)</t>
    <phoneticPr fontId="3" type="noConversion"/>
  </si>
  <si>
    <t>과          목</t>
    <phoneticPr fontId="3" type="noConversion"/>
  </si>
  <si>
    <t>비                       고</t>
    <phoneticPr fontId="3" type="noConversion"/>
  </si>
  <si>
    <t>○ 지    출</t>
    <phoneticPr fontId="3" type="noConversion"/>
  </si>
  <si>
    <t>순  공  사  비</t>
    <phoneticPr fontId="3" type="noConversion"/>
  </si>
  <si>
    <t>자    재    대</t>
    <phoneticPr fontId="3" type="noConversion"/>
  </si>
  <si>
    <t>소            계</t>
    <phoneticPr fontId="3" type="noConversion"/>
  </si>
  <si>
    <t>측 량 설 계 비</t>
    <phoneticPr fontId="3" type="noConversion"/>
  </si>
  <si>
    <t>공 사 감 독 비</t>
    <phoneticPr fontId="3" type="noConversion"/>
  </si>
  <si>
    <t>사 업 관 리 비</t>
    <phoneticPr fontId="3" type="noConversion"/>
  </si>
  <si>
    <t>폐기물처리비</t>
    <phoneticPr fontId="3" type="noConversion"/>
  </si>
  <si>
    <t>소             계</t>
    <phoneticPr fontId="3" type="noConversion"/>
  </si>
  <si>
    <t>합             계</t>
    <phoneticPr fontId="3" type="noConversion"/>
  </si>
  <si>
    <t>산            출              내           역</t>
    <phoneticPr fontId="3" type="noConversion"/>
  </si>
  <si>
    <t>≒</t>
    <phoneticPr fontId="3" type="noConversion"/>
  </si>
  <si>
    <t>트럭탑재형 크레인 10ton</t>
    <phoneticPr fontId="3" type="noConversion"/>
  </si>
  <si>
    <t>트럭탑재형 크레인 15ton</t>
    <phoneticPr fontId="3" type="noConversion"/>
  </si>
  <si>
    <t>트럭탑재형 크레인</t>
    <phoneticPr fontId="3" type="noConversion"/>
  </si>
  <si>
    <t xml:space="preserve">    10ton</t>
    <phoneticPr fontId="3" type="noConversion"/>
  </si>
  <si>
    <t xml:space="preserve">    15ton</t>
    <phoneticPr fontId="3" type="noConversion"/>
  </si>
  <si>
    <t>eo</t>
    <phoneticPr fontId="3" type="noConversion"/>
  </si>
  <si>
    <t>10ton(무한괘도)</t>
    <phoneticPr fontId="3" type="noConversion"/>
  </si>
  <si>
    <t>20ton(무한궤도)</t>
    <phoneticPr fontId="3" type="noConversion"/>
  </si>
  <si>
    <t>15ton</t>
    <phoneticPr fontId="3" type="noConversion"/>
  </si>
  <si>
    <t>15TON</t>
    <phoneticPr fontId="3" type="noConversion"/>
  </si>
  <si>
    <t>개</t>
    <phoneticPr fontId="3" type="noConversion"/>
  </si>
  <si>
    <t>매</t>
    <phoneticPr fontId="3" type="noConversion"/>
  </si>
  <si>
    <t>kg</t>
    <phoneticPr fontId="3" type="noConversion"/>
  </si>
  <si>
    <t>병</t>
    <phoneticPr fontId="3" type="noConversion"/>
  </si>
  <si>
    <t>m</t>
    <phoneticPr fontId="3" type="noConversion"/>
  </si>
  <si>
    <t>㎥</t>
    <phoneticPr fontId="3" type="noConversion"/>
  </si>
  <si>
    <t>ton</t>
    <phoneticPr fontId="3" type="noConversion"/>
  </si>
  <si>
    <t>㎡</t>
    <phoneticPr fontId="3" type="noConversion"/>
  </si>
  <si>
    <t>대</t>
    <phoneticPr fontId="3" type="noConversion"/>
  </si>
  <si>
    <t>조</t>
    <phoneticPr fontId="3" type="noConversion"/>
  </si>
  <si>
    <t>수로관(일반)</t>
    <phoneticPr fontId="3" type="noConversion"/>
  </si>
  <si>
    <t>1500×1200(1500B)</t>
    <phoneticPr fontId="3" type="noConversion"/>
  </si>
  <si>
    <t>콘크리트조립식배수관</t>
    <phoneticPr fontId="3" type="noConversion"/>
  </si>
  <si>
    <t>H=1.5m</t>
    <phoneticPr fontId="3" type="noConversion"/>
  </si>
  <si>
    <t>비                              고</t>
    <phoneticPr fontId="3" type="noConversion"/>
  </si>
  <si>
    <t>(부가세 포함)</t>
    <phoneticPr fontId="3" type="noConversion"/>
  </si>
  <si>
    <t>콘크리트조립식배수관(H=1.5)</t>
    <phoneticPr fontId="3" type="noConversion"/>
  </si>
  <si>
    <t>H=1.5</t>
    <phoneticPr fontId="3" type="noConversion"/>
  </si>
  <si>
    <t>콘크리트조립식배수관(H=1.5)</t>
    <phoneticPr fontId="3" type="noConversion"/>
  </si>
  <si>
    <t>조립식배수관운반비</t>
    <phoneticPr fontId="3" type="noConversion"/>
  </si>
  <si>
    <t>1000*1000</t>
    <phoneticPr fontId="3" type="noConversion"/>
  </si>
  <si>
    <t>수로관(1000*1000)운반</t>
    <phoneticPr fontId="3" type="noConversion"/>
  </si>
  <si>
    <t>수로관운반 (1000*1000)</t>
    <phoneticPr fontId="3" type="noConversion"/>
  </si>
  <si>
    <t>경운기</t>
    <phoneticPr fontId="3" type="noConversion"/>
  </si>
  <si>
    <t>본</t>
    <phoneticPr fontId="3" type="noConversion"/>
  </si>
  <si>
    <t>조립식구조물설치 H=1.5 (1500~2000kg)</t>
    <phoneticPr fontId="3" type="noConversion"/>
  </si>
  <si>
    <t>조립식배수관</t>
    <phoneticPr fontId="3" type="noConversion"/>
  </si>
  <si>
    <t>조립식배수관(H=1.5)</t>
    <phoneticPr fontId="3" type="noConversion"/>
  </si>
  <si>
    <t>조립식배수관운반 (H=1.5)</t>
    <phoneticPr fontId="3" type="noConversion"/>
  </si>
  <si>
    <t>조립식배수관운반(H=1.5)</t>
    <phoneticPr fontId="3" type="noConversion"/>
  </si>
  <si>
    <t>조립식구조물설치(H=1.5 1500~2000kg)</t>
    <phoneticPr fontId="3" type="noConversion"/>
  </si>
  <si>
    <t>소켓식흄관고무링접합 D700</t>
    <phoneticPr fontId="3" type="noConversion"/>
  </si>
  <si>
    <t>D700</t>
    <phoneticPr fontId="3" type="noConversion"/>
  </si>
  <si>
    <t>철근콘크리트수로관 1200B</t>
    <phoneticPr fontId="3" type="noConversion"/>
  </si>
  <si>
    <t>1200B</t>
    <phoneticPr fontId="3" type="noConversion"/>
  </si>
  <si>
    <t>수로관운반 (1200*1000)</t>
    <phoneticPr fontId="3" type="noConversion"/>
  </si>
  <si>
    <t>1200*1000</t>
    <phoneticPr fontId="3" type="noConversion"/>
  </si>
  <si>
    <t>수로관(1200*1000)운반</t>
    <phoneticPr fontId="3" type="noConversion"/>
  </si>
  <si>
    <t>조립식구조물설치 1200B (1500~2000kg)</t>
    <phoneticPr fontId="3" type="noConversion"/>
  </si>
  <si>
    <t>철근콘크리트수로관 부설(1200*1000)</t>
    <phoneticPr fontId="3" type="noConversion"/>
  </si>
  <si>
    <t>소켓식흄관고무링접합 D1200</t>
    <phoneticPr fontId="3" type="noConversion"/>
  </si>
  <si>
    <t>소켓식흄관고무링접합 D1200</t>
    <phoneticPr fontId="3" type="noConversion"/>
  </si>
  <si>
    <t>D1200</t>
    <phoneticPr fontId="3" type="noConversion"/>
  </si>
  <si>
    <t>1200×1000(1200B)</t>
    <phoneticPr fontId="3" type="noConversion"/>
  </si>
  <si>
    <t>1-3호형(D38mm×800kg)</t>
    <phoneticPr fontId="3" type="noConversion"/>
  </si>
  <si>
    <t>38D</t>
    <phoneticPr fontId="3" type="noConversion"/>
  </si>
  <si>
    <t>1-3호형(0.72m×0.72m)</t>
    <phoneticPr fontId="3" type="noConversion"/>
  </si>
  <si>
    <t>문비설치(1-2호형0.55m*0.55m)</t>
    <phoneticPr fontId="3" type="noConversion"/>
  </si>
  <si>
    <t>매</t>
    <phoneticPr fontId="3" type="noConversion"/>
  </si>
  <si>
    <t>1-2호형</t>
    <phoneticPr fontId="3" type="noConversion"/>
  </si>
  <si>
    <t>권양기설치(신형 1-2호형)</t>
    <phoneticPr fontId="3" type="noConversion"/>
  </si>
  <si>
    <t>신형 1-2호형</t>
    <phoneticPr fontId="3" type="noConversion"/>
  </si>
  <si>
    <t>1-1호형(D25mm×370kg)</t>
    <phoneticPr fontId="3" type="noConversion"/>
  </si>
  <si>
    <t>25D</t>
    <phoneticPr fontId="3" type="noConversion"/>
  </si>
  <si>
    <t>스핀들설치(25D)</t>
    <phoneticPr fontId="3" type="noConversion"/>
  </si>
  <si>
    <t>스핀들</t>
    <phoneticPr fontId="3" type="noConversion"/>
  </si>
  <si>
    <t>25D</t>
    <phoneticPr fontId="3" type="noConversion"/>
  </si>
  <si>
    <t>1m</t>
    <phoneticPr fontId="3" type="noConversion"/>
  </si>
  <si>
    <t>m</t>
    <phoneticPr fontId="3" type="noConversion"/>
  </si>
  <si>
    <t>32D</t>
    <phoneticPr fontId="3" type="noConversion"/>
  </si>
  <si>
    <t>스핀들설치(32D)</t>
    <phoneticPr fontId="3" type="noConversion"/>
  </si>
  <si>
    <t>스핀들설치(38D)</t>
    <phoneticPr fontId="3" type="noConversion"/>
  </si>
  <si>
    <t>구                        분</t>
    <phoneticPr fontId="3" type="noConversion"/>
  </si>
  <si>
    <t>증          감</t>
    <phoneticPr fontId="3" type="noConversion"/>
  </si>
  <si>
    <t>증          감</t>
    <phoneticPr fontId="3" type="noConversion"/>
  </si>
  <si>
    <t>평야부</t>
  </si>
  <si>
    <t>관급자재대</t>
  </si>
  <si>
    <t>계</t>
    <phoneticPr fontId="3" type="noConversion"/>
  </si>
  <si>
    <t>평야부</t>
    <phoneticPr fontId="3" type="noConversion"/>
  </si>
  <si>
    <t>관급자재대</t>
    <phoneticPr fontId="3" type="noConversion"/>
  </si>
  <si>
    <t>1500A</t>
    <phoneticPr fontId="3" type="noConversion"/>
  </si>
  <si>
    <t>1500×1000(1500A)</t>
    <phoneticPr fontId="3" type="noConversion"/>
  </si>
  <si>
    <t>철근콘크리트수로관 1500A</t>
    <phoneticPr fontId="3" type="noConversion"/>
  </si>
  <si>
    <t>수로관(1500*1000)운반</t>
    <phoneticPr fontId="3" type="noConversion"/>
  </si>
  <si>
    <t>철근콘크리트수로관 부설(1500*1000)</t>
    <phoneticPr fontId="3" type="noConversion"/>
  </si>
  <si>
    <t>(단위:원)</t>
    <phoneticPr fontId="3" type="noConversion"/>
  </si>
  <si>
    <t>종          별</t>
    <phoneticPr fontId="3" type="noConversion"/>
  </si>
  <si>
    <t>원  수</t>
    <phoneticPr fontId="3" type="noConversion"/>
  </si>
  <si>
    <t>단위</t>
    <phoneticPr fontId="3" type="noConversion"/>
  </si>
  <si>
    <t>총              액</t>
    <phoneticPr fontId="3" type="noConversion"/>
  </si>
  <si>
    <t>경          비</t>
    <phoneticPr fontId="3" type="noConversion"/>
  </si>
  <si>
    <t>비고</t>
    <phoneticPr fontId="3" type="noConversion"/>
  </si>
  <si>
    <t>단 가</t>
    <phoneticPr fontId="3" type="noConversion"/>
  </si>
  <si>
    <t>금    액</t>
    <phoneticPr fontId="3" type="noConversion"/>
  </si>
  <si>
    <t>10㎥미만</t>
    <phoneticPr fontId="3" type="noConversion"/>
  </si>
  <si>
    <t>급배수관 부설 D100</t>
    <phoneticPr fontId="3" type="noConversion"/>
  </si>
  <si>
    <t>급배수관 부설 D150</t>
    <phoneticPr fontId="3" type="noConversion"/>
  </si>
  <si>
    <t>급배수관 부설 D200</t>
    <phoneticPr fontId="3" type="noConversion"/>
  </si>
  <si>
    <t>D100</t>
    <phoneticPr fontId="3" type="noConversion"/>
  </si>
  <si>
    <t>수로관 천공 및 접합(D100)</t>
    <phoneticPr fontId="3" type="noConversion"/>
  </si>
  <si>
    <t>철근콘크리트수로관 부설(800*700,800*800)</t>
    <phoneticPr fontId="3" type="noConversion"/>
  </si>
  <si>
    <t>철근콘크리트수로관 해체(800*700,800*800)</t>
    <phoneticPr fontId="3" type="noConversion"/>
  </si>
  <si>
    <t>철근콘크리트수로관 800B, 800C</t>
    <phoneticPr fontId="3" type="noConversion"/>
  </si>
  <si>
    <t>철근콘크리트수로관 해체 800B, 800C</t>
    <phoneticPr fontId="3" type="noConversion"/>
  </si>
  <si>
    <t xml:space="preserve">PE수도관 </t>
    <phoneticPr fontId="3" type="noConversion"/>
  </si>
  <si>
    <t>별</t>
    <phoneticPr fontId="3" type="noConversion"/>
  </si>
  <si>
    <t>도</t>
    <phoneticPr fontId="3" type="noConversion"/>
  </si>
  <si>
    <t>PE수도관 이음관</t>
    <phoneticPr fontId="3" type="noConversion"/>
  </si>
  <si>
    <t>강봉</t>
    <phoneticPr fontId="3" type="noConversion"/>
  </si>
  <si>
    <t>파이프</t>
    <phoneticPr fontId="3" type="noConversion"/>
  </si>
  <si>
    <t>평철</t>
    <phoneticPr fontId="3" type="noConversion"/>
  </si>
  <si>
    <t>앙카볼트</t>
    <phoneticPr fontId="3" type="noConversion"/>
  </si>
  <si>
    <t>ㄴ형강</t>
    <phoneticPr fontId="3" type="noConversion"/>
  </si>
  <si>
    <t>6t</t>
    <phoneticPr fontId="3" type="noConversion"/>
  </si>
  <si>
    <t>10mm</t>
    <phoneticPr fontId="3" type="noConversion"/>
  </si>
  <si>
    <t>19mm*1t</t>
    <phoneticPr fontId="3" type="noConversion"/>
  </si>
  <si>
    <t>16mm</t>
    <phoneticPr fontId="3" type="noConversion"/>
  </si>
  <si>
    <t>9t</t>
    <phoneticPr fontId="3" type="noConversion"/>
  </si>
  <si>
    <t>12mm</t>
    <phoneticPr fontId="3" type="noConversion"/>
  </si>
  <si>
    <t>50*50*6t</t>
    <phoneticPr fontId="3" type="noConversion"/>
  </si>
  <si>
    <t>제작설치</t>
    <phoneticPr fontId="3" type="noConversion"/>
  </si>
  <si>
    <t>취수문 설치(STS304) 0.55*0.55</t>
    <phoneticPr fontId="3" type="noConversion"/>
  </si>
  <si>
    <t>배사문 설치(STS304)  0.55*0.75</t>
    <phoneticPr fontId="3" type="noConversion"/>
  </si>
  <si>
    <t>1조</t>
    <phoneticPr fontId="3" type="noConversion"/>
  </si>
  <si>
    <t>사각기성맨홀</t>
    <phoneticPr fontId="3" type="noConversion"/>
  </si>
  <si>
    <t>조</t>
    <phoneticPr fontId="3" type="noConversion"/>
  </si>
  <si>
    <t>운반설치비</t>
    <phoneticPr fontId="3" type="noConversion"/>
  </si>
  <si>
    <t>재료비의5%</t>
    <phoneticPr fontId="3" type="noConversion"/>
  </si>
  <si>
    <t>유통물가1월 p206</t>
    <phoneticPr fontId="3" type="noConversion"/>
  </si>
  <si>
    <t>기성맨홀1000</t>
    <phoneticPr fontId="3" type="noConversion"/>
  </si>
  <si>
    <t>1000*1200*200</t>
    <phoneticPr fontId="3" type="noConversion"/>
  </si>
  <si>
    <t>기성맨홀설치 1.0*1.0*1.2</t>
    <phoneticPr fontId="3" type="noConversion"/>
  </si>
  <si>
    <t>식</t>
    <phoneticPr fontId="3" type="noConversion"/>
  </si>
  <si>
    <t>품524p</t>
    <phoneticPr fontId="3" type="noConversion"/>
  </si>
  <si>
    <t>천원</t>
    <phoneticPr fontId="3" type="noConversion"/>
  </si>
  <si>
    <t>인          가</t>
    <phoneticPr fontId="3" type="noConversion"/>
  </si>
  <si>
    <t>합    계</t>
    <phoneticPr fontId="3" type="noConversion"/>
  </si>
  <si>
    <t>≒</t>
    <phoneticPr fontId="3" type="noConversion"/>
  </si>
  <si>
    <t>로     선     및    위     치</t>
    <phoneticPr fontId="3" type="noConversion"/>
  </si>
  <si>
    <t>치    수</t>
    <phoneticPr fontId="3" type="noConversion"/>
  </si>
  <si>
    <t>로            선             명</t>
    <phoneticPr fontId="3" type="noConversion"/>
  </si>
  <si>
    <t>길        이</t>
    <phoneticPr fontId="3" type="noConversion"/>
  </si>
  <si>
    <t>넓        이</t>
    <phoneticPr fontId="3" type="noConversion"/>
  </si>
  <si>
    <t>지름 및 높이</t>
    <phoneticPr fontId="3" type="noConversion"/>
  </si>
  <si>
    <t>종    별</t>
    <phoneticPr fontId="3" type="noConversion"/>
  </si>
  <si>
    <t>단위</t>
    <phoneticPr fontId="3" type="noConversion"/>
  </si>
  <si>
    <t>증     감</t>
    <phoneticPr fontId="3" type="noConversion"/>
  </si>
  <si>
    <t>흄관용 400mm</t>
    <phoneticPr fontId="3" type="noConversion"/>
  </si>
  <si>
    <t>63mm</t>
    <phoneticPr fontId="3" type="noConversion"/>
  </si>
  <si>
    <t>m</t>
    <phoneticPr fontId="3" type="noConversion"/>
  </si>
  <si>
    <t>취부금구(스핀들용)</t>
    <phoneticPr fontId="3" type="noConversion"/>
  </si>
  <si>
    <t>25D</t>
    <phoneticPr fontId="3" type="noConversion"/>
  </si>
  <si>
    <t>38D</t>
    <phoneticPr fontId="3" type="noConversion"/>
  </si>
  <si>
    <t>270*1t(B=200)</t>
    <phoneticPr fontId="3" type="noConversion"/>
  </si>
  <si>
    <t>300*1t(B=200)</t>
    <phoneticPr fontId="3" type="noConversion"/>
  </si>
  <si>
    <t>330*1t(B=230)</t>
    <phoneticPr fontId="3" type="noConversion"/>
  </si>
  <si>
    <t>조달단가(부가세포함)</t>
    <phoneticPr fontId="3" type="noConversion"/>
  </si>
  <si>
    <t>잔디(재배)</t>
    <phoneticPr fontId="3" type="noConversion"/>
  </si>
  <si>
    <t>맨홀</t>
    <phoneticPr fontId="3" type="noConversion"/>
  </si>
  <si>
    <t>600×600×1000</t>
    <phoneticPr fontId="3" type="noConversion"/>
  </si>
  <si>
    <t>개</t>
    <phoneticPr fontId="3" type="noConversion"/>
  </si>
  <si>
    <t>물가자료 1월 203P</t>
    <phoneticPr fontId="3" type="noConversion"/>
  </si>
  <si>
    <t>견적가</t>
    <phoneticPr fontId="3" type="noConversion"/>
  </si>
  <si>
    <t>물가자료 3월 678P</t>
    <phoneticPr fontId="3" type="noConversion"/>
  </si>
  <si>
    <t>1본</t>
    <phoneticPr fontId="3" type="noConversion"/>
  </si>
  <si>
    <t>특별인부</t>
    <phoneticPr fontId="3" type="noConversion"/>
  </si>
  <si>
    <t>인</t>
    <phoneticPr fontId="3" type="noConversion"/>
  </si>
  <si>
    <t>보통인부</t>
    <phoneticPr fontId="3" type="noConversion"/>
  </si>
  <si>
    <t>기구손료및이음몰탈</t>
    <phoneticPr fontId="3" type="noConversion"/>
  </si>
  <si>
    <t>노력비의2%</t>
    <phoneticPr fontId="3" type="noConversion"/>
  </si>
  <si>
    <t>%</t>
    <phoneticPr fontId="3" type="noConversion"/>
  </si>
  <si>
    <t>무한괘도크레인</t>
    <phoneticPr fontId="3" type="noConversion"/>
  </si>
  <si>
    <t>10TON</t>
    <phoneticPr fontId="3" type="noConversion"/>
  </si>
  <si>
    <t>HR</t>
    <phoneticPr fontId="3" type="noConversion"/>
  </si>
  <si>
    <t>조립식배수관운반비</t>
    <phoneticPr fontId="3" type="noConversion"/>
  </si>
  <si>
    <t>본</t>
    <phoneticPr fontId="3" type="noConversion"/>
  </si>
  <si>
    <t>조립식구조물설치</t>
    <phoneticPr fontId="3" type="noConversion"/>
  </si>
  <si>
    <t>조립식배수관</t>
    <phoneticPr fontId="3" type="noConversion"/>
  </si>
  <si>
    <t>.</t>
    <phoneticPr fontId="3" type="noConversion"/>
  </si>
  <si>
    <t>2500×1500</t>
    <phoneticPr fontId="3" type="noConversion"/>
  </si>
  <si>
    <t>공         종</t>
    <phoneticPr fontId="3" type="noConversion"/>
  </si>
  <si>
    <t>구            분</t>
    <phoneticPr fontId="3" type="noConversion"/>
  </si>
  <si>
    <t>ton/㎥</t>
    <phoneticPr fontId="3" type="noConversion"/>
  </si>
  <si>
    <t>PE관 부설접합(전기융착식) D=150</t>
    <phoneticPr fontId="3" type="noConversion"/>
  </si>
  <si>
    <t>PE관 부설접합(전기융착식) D=200</t>
    <phoneticPr fontId="3" type="noConversion"/>
  </si>
  <si>
    <t>PE관 부설접합(전기융착식) D=250</t>
    <phoneticPr fontId="3" type="noConversion"/>
  </si>
  <si>
    <t>PE관 부설접합(전기융착식) D=300</t>
    <phoneticPr fontId="3" type="noConversion"/>
  </si>
  <si>
    <t>1㎥</t>
    <phoneticPr fontId="3" type="noConversion"/>
  </si>
  <si>
    <t>㎥</t>
    <phoneticPr fontId="3" type="noConversion"/>
  </si>
  <si>
    <t>보통인부</t>
    <phoneticPr fontId="3" type="noConversion"/>
  </si>
  <si>
    <t>인</t>
    <phoneticPr fontId="3" type="noConversion"/>
  </si>
  <si>
    <t>굴삭기</t>
    <phoneticPr fontId="3" type="noConversion"/>
  </si>
  <si>
    <t>무한궤도(0.7)</t>
    <phoneticPr fontId="3" type="noConversion"/>
  </si>
  <si>
    <t>HR</t>
    <phoneticPr fontId="3" type="noConversion"/>
  </si>
  <si>
    <t>플레이트콤팩터</t>
    <phoneticPr fontId="3" type="noConversion"/>
  </si>
  <si>
    <t>1.5ton</t>
    <phoneticPr fontId="3" type="noConversion"/>
  </si>
  <si>
    <t>유공관</t>
    <phoneticPr fontId="3" type="noConversion"/>
  </si>
  <si>
    <t>1m</t>
    <phoneticPr fontId="3" type="noConversion"/>
  </si>
  <si>
    <t>m</t>
    <phoneticPr fontId="3" type="noConversion"/>
  </si>
  <si>
    <t>배 관 공</t>
    <phoneticPr fontId="3" type="noConversion"/>
  </si>
  <si>
    <t>0.08 / 6</t>
    <phoneticPr fontId="3" type="noConversion"/>
  </si>
  <si>
    <t>인</t>
    <phoneticPr fontId="3" type="noConversion"/>
  </si>
  <si>
    <t>보통인부</t>
    <phoneticPr fontId="3" type="noConversion"/>
  </si>
  <si>
    <t>0.14 / 6</t>
    <phoneticPr fontId="3" type="noConversion"/>
  </si>
  <si>
    <t>부직포</t>
    <phoneticPr fontId="3" type="noConversion"/>
  </si>
  <si>
    <t>장섬유 T=4t/m</t>
    <phoneticPr fontId="3" type="noConversion"/>
  </si>
  <si>
    <t>㎡</t>
    <phoneticPr fontId="3" type="noConversion"/>
  </si>
  <si>
    <t>부직포 설치</t>
    <phoneticPr fontId="3" type="noConversion"/>
  </si>
  <si>
    <t>PE관(유공) 부설 D150</t>
    <phoneticPr fontId="3" type="noConversion"/>
  </si>
  <si>
    <t>물가자료 9월 304P</t>
    <phoneticPr fontId="3" type="noConversion"/>
  </si>
  <si>
    <t>유공관(부직포)</t>
    <phoneticPr fontId="3" type="noConversion"/>
  </si>
  <si>
    <t>이경티(315*160)</t>
    <phoneticPr fontId="3" type="noConversion"/>
  </si>
  <si>
    <t>후렌지단관(D110)</t>
    <phoneticPr fontId="3" type="noConversion"/>
  </si>
  <si>
    <t>정티(D110)</t>
    <phoneticPr fontId="3" type="noConversion"/>
  </si>
  <si>
    <t>후렌지단관(D160)</t>
    <phoneticPr fontId="3" type="noConversion"/>
  </si>
  <si>
    <t>KP식PE수도관</t>
    <phoneticPr fontId="3" type="noConversion"/>
  </si>
  <si>
    <t>D110</t>
    <phoneticPr fontId="3" type="noConversion"/>
  </si>
  <si>
    <t>D160</t>
    <phoneticPr fontId="3" type="noConversion"/>
  </si>
  <si>
    <t>D225</t>
    <phoneticPr fontId="3" type="noConversion"/>
  </si>
  <si>
    <t>D315</t>
    <phoneticPr fontId="3" type="noConversion"/>
  </si>
  <si>
    <t>KP식이형관</t>
    <phoneticPr fontId="3" type="noConversion"/>
  </si>
  <si>
    <t>정티(D160)</t>
    <phoneticPr fontId="3" type="noConversion"/>
  </si>
  <si>
    <t>정티(D225)</t>
    <phoneticPr fontId="3" type="noConversion"/>
  </si>
  <si>
    <t>정티(D315)</t>
    <phoneticPr fontId="3" type="noConversion"/>
  </si>
  <si>
    <t>이경티(160*90)</t>
    <phoneticPr fontId="3" type="noConversion"/>
  </si>
  <si>
    <t>이경티(160*110)</t>
    <phoneticPr fontId="3" type="noConversion"/>
  </si>
  <si>
    <t>이경티(225*110)</t>
    <phoneticPr fontId="3" type="noConversion"/>
  </si>
  <si>
    <t>이경티(315*110)</t>
    <phoneticPr fontId="3" type="noConversion"/>
  </si>
  <si>
    <t>이경티(315*225)</t>
    <phoneticPr fontId="3" type="noConversion"/>
  </si>
  <si>
    <t>곡관(D110*45˚)</t>
    <phoneticPr fontId="3" type="noConversion"/>
  </si>
  <si>
    <t>곡관(D160*45˚)</t>
    <phoneticPr fontId="3" type="noConversion"/>
  </si>
  <si>
    <t>곡관(D225*45˚)</t>
    <phoneticPr fontId="3" type="noConversion"/>
  </si>
  <si>
    <t>곡관(D315*45˚)</t>
    <phoneticPr fontId="3" type="noConversion"/>
  </si>
  <si>
    <t>후렌지단관(D225)</t>
    <phoneticPr fontId="3" type="noConversion"/>
  </si>
  <si>
    <t>후렌지단관(D315)</t>
    <phoneticPr fontId="3" type="noConversion"/>
  </si>
  <si>
    <t>곡관(D110*90˚)</t>
    <phoneticPr fontId="3" type="noConversion"/>
  </si>
  <si>
    <t>곡관(D160*90˚)</t>
    <phoneticPr fontId="3" type="noConversion"/>
  </si>
  <si>
    <t>곡관(D225*90˚)</t>
    <phoneticPr fontId="3" type="noConversion"/>
  </si>
  <si>
    <t>곡관(D315*90˚)</t>
    <phoneticPr fontId="3" type="noConversion"/>
  </si>
  <si>
    <t>게이트밸브</t>
    <phoneticPr fontId="3" type="noConversion"/>
  </si>
  <si>
    <t>D100(STS,10K,플랜지식)</t>
    <phoneticPr fontId="3" type="noConversion"/>
  </si>
  <si>
    <t>D200(STS,10K,플랜지식)</t>
    <phoneticPr fontId="3" type="noConversion"/>
  </si>
  <si>
    <t>D150(STS,10K,플랜지식)</t>
    <phoneticPr fontId="3" type="noConversion"/>
  </si>
  <si>
    <t>물가자료</t>
    <phoneticPr fontId="3" type="noConversion"/>
  </si>
  <si>
    <t>1개</t>
    <phoneticPr fontId="3" type="noConversion"/>
  </si>
  <si>
    <t>게이트밸브 설치 (D100, STS, 플랜지식)</t>
    <phoneticPr fontId="3" type="noConversion"/>
  </si>
  <si>
    <t>D100, STS, 플랜지식</t>
    <phoneticPr fontId="3" type="noConversion"/>
  </si>
  <si>
    <t>게이트밸브 설치 (D150, STS, 플랜지식)</t>
    <phoneticPr fontId="3" type="noConversion"/>
  </si>
  <si>
    <t>D150, STS, 플랜지식</t>
    <phoneticPr fontId="3" type="noConversion"/>
  </si>
  <si>
    <t>0.4*0.4*0.6*0.1</t>
    <phoneticPr fontId="3" type="noConversion"/>
  </si>
  <si>
    <t>물가자료 9월 205P</t>
    <phoneticPr fontId="3" type="noConversion"/>
  </si>
  <si>
    <t>맨홀설치(0.4*0.4*0.6)</t>
    <phoneticPr fontId="3" type="noConversion"/>
  </si>
  <si>
    <t>사각 0.4*0.4</t>
    <phoneticPr fontId="3" type="noConversion"/>
  </si>
  <si>
    <t>소켓식흄관고무링접합 D1000(자재대 제외)</t>
    <phoneticPr fontId="3" type="noConversion"/>
  </si>
  <si>
    <t>(자재대 제외)</t>
    <phoneticPr fontId="3" type="noConversion"/>
  </si>
  <si>
    <t>1.0㎥</t>
    <phoneticPr fontId="3" type="noConversion"/>
  </si>
  <si>
    <t>Rt =</t>
    <phoneticPr fontId="3" type="noConversion"/>
  </si>
  <si>
    <t>Q = 3600 * q * k * f * E*Rt /cm =</t>
    <phoneticPr fontId="3" type="noConversion"/>
  </si>
  <si>
    <t>유압식백호 1.0㎥</t>
    <phoneticPr fontId="3" type="noConversion"/>
  </si>
  <si>
    <t>1.0㎥(무한궤도)</t>
    <phoneticPr fontId="3" type="noConversion"/>
  </si>
  <si>
    <t>백호  1.0㎥</t>
    <phoneticPr fontId="3" type="noConversion"/>
  </si>
  <si>
    <t xml:space="preserve">      24 ton</t>
    <phoneticPr fontId="3" type="noConversion"/>
  </si>
  <si>
    <t>덤프트럭 24ton</t>
    <phoneticPr fontId="3" type="noConversion"/>
  </si>
  <si>
    <t>24ton(보통)</t>
    <phoneticPr fontId="3" type="noConversion"/>
  </si>
  <si>
    <t>덤프  24ton</t>
    <phoneticPr fontId="3" type="noConversion"/>
  </si>
  <si>
    <t>폐콘크리트 적재(철근콘크리트)</t>
    <phoneticPr fontId="3" type="noConversion"/>
  </si>
  <si>
    <t>폐콘크리트 운반(철근콘크리트)</t>
    <phoneticPr fontId="3" type="noConversion"/>
  </si>
  <si>
    <t>Qt=T*L/rt/1000=</t>
    <phoneticPr fontId="3" type="noConversion"/>
  </si>
  <si>
    <t>f=(1/1.5)=</t>
    <phoneticPr fontId="3" type="noConversion"/>
  </si>
  <si>
    <t>분        t5=</t>
    <phoneticPr fontId="3" type="noConversion"/>
  </si>
  <si>
    <t>t2 = (ℓ/v1)+(ℓ/v2)*60=</t>
    <phoneticPr fontId="3" type="noConversion"/>
  </si>
  <si>
    <t>V2 =</t>
    <phoneticPr fontId="3" type="noConversion"/>
  </si>
  <si>
    <t>t1 = cms*n/(60*Es) =</t>
    <phoneticPr fontId="3" type="noConversion"/>
  </si>
  <si>
    <t>Qt/(q*k) =</t>
    <phoneticPr fontId="3" type="noConversion"/>
  </si>
  <si>
    <t>Q=60*Qt*E*f*Rt/cm=</t>
    <phoneticPr fontId="3" type="noConversion"/>
  </si>
  <si>
    <t>폐콘크리트 적재(철근)</t>
    <phoneticPr fontId="3" type="noConversion"/>
  </si>
  <si>
    <t>폐콘크리트 운반(철근)</t>
    <phoneticPr fontId="3" type="noConversion"/>
  </si>
  <si>
    <t>OC=T2/cm =</t>
    <phoneticPr fontId="3" type="noConversion"/>
  </si>
  <si>
    <t>콘크리트</t>
    <phoneticPr fontId="3" type="noConversion"/>
  </si>
  <si>
    <t>폐기물처리비(경비)</t>
    <phoneticPr fontId="3" type="noConversion"/>
  </si>
  <si>
    <t>폐콘크리트 적재(무근콘크리트)</t>
    <phoneticPr fontId="3" type="noConversion"/>
  </si>
  <si>
    <t>폐콘크리트 운반(무근콘크리트)</t>
    <phoneticPr fontId="3" type="noConversion"/>
  </si>
  <si>
    <t>폐콘크리트 적재(무근)</t>
    <phoneticPr fontId="3" type="noConversion"/>
  </si>
  <si>
    <t>폐콘크리트 운반(무근)</t>
    <phoneticPr fontId="3" type="noConversion"/>
  </si>
  <si>
    <t>폐기물처리비(철근)</t>
    <phoneticPr fontId="3" type="noConversion"/>
  </si>
  <si>
    <t>적재</t>
    <phoneticPr fontId="3" type="noConversion"/>
  </si>
  <si>
    <t>폐철근 고철공제</t>
    <phoneticPr fontId="3" type="noConversion"/>
  </si>
  <si>
    <t>0.008*7850*70%/2.4</t>
    <phoneticPr fontId="3" type="noConversion"/>
  </si>
  <si>
    <t>폐기물처리비(무근)</t>
    <phoneticPr fontId="3" type="noConversion"/>
  </si>
  <si>
    <t>굴삭기(무한궤도)1.0㎥</t>
    <phoneticPr fontId="3" type="noConversion"/>
  </si>
  <si>
    <t>덤프24ton</t>
    <phoneticPr fontId="3" type="noConversion"/>
  </si>
  <si>
    <t>폐기물 적재(철근)</t>
    <phoneticPr fontId="3" type="noConversion"/>
  </si>
  <si>
    <t>폐기물 적재(무근)</t>
    <phoneticPr fontId="3" type="noConversion"/>
  </si>
  <si>
    <t>유말공</t>
    <phoneticPr fontId="3" type="noConversion"/>
  </si>
  <si>
    <t>견적단가</t>
    <phoneticPr fontId="3" type="noConversion"/>
  </si>
  <si>
    <t>조립식구조물설치(4000~4500kg)</t>
    <phoneticPr fontId="3" type="noConversion"/>
  </si>
  <si>
    <t>유말공 설치 D600</t>
    <phoneticPr fontId="3" type="noConversion"/>
  </si>
  <si>
    <t>유말공운반비</t>
    <phoneticPr fontId="3" type="noConversion"/>
  </si>
  <si>
    <t>유말공 설치 D800</t>
    <phoneticPr fontId="3" type="noConversion"/>
  </si>
  <si>
    <t>유말공 설치 D1000</t>
    <phoneticPr fontId="3" type="noConversion"/>
  </si>
  <si>
    <t>조립식구조물설치(2500~3000kg)</t>
    <phoneticPr fontId="3" type="noConversion"/>
  </si>
  <si>
    <t>조립식구조물설치 (4000~4500kg)</t>
    <phoneticPr fontId="3" type="noConversion"/>
  </si>
  <si>
    <t>조립식구조물설치 (2500~3000kg)</t>
    <phoneticPr fontId="3" type="noConversion"/>
  </si>
  <si>
    <t>유말공 설치(D600)</t>
    <phoneticPr fontId="3" type="noConversion"/>
  </si>
  <si>
    <t>유말공 설치(D800)</t>
    <phoneticPr fontId="3" type="noConversion"/>
  </si>
  <si>
    <t>유말공 설치(D1000)</t>
    <phoneticPr fontId="3" type="noConversion"/>
  </si>
  <si>
    <t>L =</t>
    <phoneticPr fontId="3" type="noConversion"/>
  </si>
  <si>
    <t>D1000(탄구)</t>
    <phoneticPr fontId="3" type="noConversion"/>
  </si>
  <si>
    <t>D600(탄구)</t>
    <phoneticPr fontId="3" type="noConversion"/>
  </si>
  <si>
    <t>D800(탄구)</t>
    <phoneticPr fontId="3" type="noConversion"/>
  </si>
  <si>
    <t>25-160-12</t>
    <phoneticPr fontId="3" type="noConversion"/>
  </si>
  <si>
    <t>터파기(인력) 토사 0~1m</t>
    <phoneticPr fontId="3" type="noConversion"/>
  </si>
  <si>
    <t xml:space="preserve">터파기(인력) 토사 0~1m </t>
    <phoneticPr fontId="3" type="noConversion"/>
  </si>
  <si>
    <t>스틸그레이팅</t>
    <phoneticPr fontId="3" type="noConversion"/>
  </si>
  <si>
    <t>0.8*0.8*0.8*0.15</t>
    <phoneticPr fontId="3" type="noConversion"/>
  </si>
  <si>
    <t>물가자료 10월 205P</t>
    <phoneticPr fontId="3" type="noConversion"/>
  </si>
  <si>
    <t>0.9*0.9*0.6t</t>
    <phoneticPr fontId="3" type="noConversion"/>
  </si>
  <si>
    <t>물가자료 10월 215P</t>
    <phoneticPr fontId="3" type="noConversion"/>
  </si>
  <si>
    <t>맨홀설치(0.8*0.8*0.8)</t>
    <phoneticPr fontId="3" type="noConversion"/>
  </si>
  <si>
    <t>사각 0.8*0.8</t>
    <phoneticPr fontId="3" type="noConversion"/>
  </si>
  <si>
    <t>스틸그레이팅(0.9*0.9*6t)</t>
    <phoneticPr fontId="3" type="noConversion"/>
  </si>
  <si>
    <t>0.9*0.9*6t</t>
    <phoneticPr fontId="3" type="noConversion"/>
  </si>
  <si>
    <t>2.0×1.2</t>
    <phoneticPr fontId="3" type="noConversion"/>
  </si>
  <si>
    <t>콘크리트조립식배수관 부설(2000*1200)</t>
    <phoneticPr fontId="3" type="noConversion"/>
  </si>
  <si>
    <t>콘크리트조립식배수관 해체(2000*1200)</t>
    <phoneticPr fontId="3" type="noConversion"/>
  </si>
  <si>
    <t>콘크리트조립식배수관 부설(2.0×1.2)</t>
    <phoneticPr fontId="3" type="noConversion"/>
  </si>
  <si>
    <t>콘크리트조립식배수관 해체(2.0×1.2)</t>
    <phoneticPr fontId="3" type="noConversion"/>
  </si>
  <si>
    <t>2000×1200</t>
    <phoneticPr fontId="3" type="noConversion"/>
  </si>
  <si>
    <t>철근콘크리트수로관 부설(1500*1200)</t>
    <phoneticPr fontId="3" type="noConversion"/>
  </si>
  <si>
    <t>철근콘크리트수로관 해체(1500*1200)</t>
    <phoneticPr fontId="3" type="noConversion"/>
  </si>
  <si>
    <t>철근콘크리트수로관 1500B</t>
    <phoneticPr fontId="3" type="noConversion"/>
  </si>
  <si>
    <t>철근콘크리트수로관 해체 1500B</t>
    <phoneticPr fontId="3" type="noConversion"/>
  </si>
  <si>
    <t>1500B</t>
    <phoneticPr fontId="3" type="noConversion"/>
  </si>
  <si>
    <t>H=1.8m</t>
    <phoneticPr fontId="3" type="noConversion"/>
  </si>
  <si>
    <t>조립식구조물설치(H=1.8 2500~3000kg)</t>
    <phoneticPr fontId="3" type="noConversion"/>
  </si>
  <si>
    <t>조립식구조물설치 H=1.8 (2500~3000kg)</t>
    <phoneticPr fontId="3" type="noConversion"/>
  </si>
  <si>
    <t>H=1.8</t>
    <phoneticPr fontId="3" type="noConversion"/>
  </si>
  <si>
    <t>콘크리트조립식배수관(H=1.8)</t>
    <phoneticPr fontId="3" type="noConversion"/>
  </si>
  <si>
    <t>콘크리트조립식배수관</t>
    <phoneticPr fontId="3" type="noConversion"/>
  </si>
  <si>
    <t>품     명</t>
    <phoneticPr fontId="3" type="noConversion"/>
  </si>
  <si>
    <t>규    격</t>
    <phoneticPr fontId="3" type="noConversion"/>
  </si>
  <si>
    <t>물   량</t>
    <phoneticPr fontId="3" type="noConversion"/>
  </si>
  <si>
    <t>금    액</t>
    <phoneticPr fontId="3" type="noConversion"/>
  </si>
  <si>
    <t>노임단가</t>
    <phoneticPr fontId="3" type="noConversion"/>
  </si>
  <si>
    <t xml:space="preserve">     </t>
    <phoneticPr fontId="3" type="noConversion"/>
  </si>
  <si>
    <t>H=1.2m</t>
    <phoneticPr fontId="3" type="noConversion"/>
  </si>
  <si>
    <t>콘크리트조립식배수관(H=1.2)</t>
    <phoneticPr fontId="3" type="noConversion"/>
  </si>
  <si>
    <t>H=1.2</t>
    <phoneticPr fontId="3" type="noConversion"/>
  </si>
  <si>
    <t>조립식구조물설치 H=1.2 (1150~1500kg)</t>
    <phoneticPr fontId="3" type="noConversion"/>
  </si>
  <si>
    <t>조립식구조물설치(H=1.2 1150~1500kg)</t>
    <phoneticPr fontId="3" type="noConversion"/>
  </si>
  <si>
    <t>공            종</t>
    <phoneticPr fontId="3" type="noConversion"/>
  </si>
  <si>
    <t>0.9*0.9*1.2*0.15</t>
    <phoneticPr fontId="3" type="noConversion"/>
  </si>
  <si>
    <t>물가자료 12월 205P</t>
    <phoneticPr fontId="3" type="noConversion"/>
  </si>
  <si>
    <t>0.7*0.7*0.6t</t>
    <phoneticPr fontId="3" type="noConversion"/>
  </si>
  <si>
    <t>사각 0.9*0.9</t>
    <phoneticPr fontId="3" type="noConversion"/>
  </si>
  <si>
    <t>맨홀설치(0.9*0.9*1.2)</t>
    <phoneticPr fontId="3" type="noConversion"/>
  </si>
  <si>
    <t>스틸그레이팅(0.7*0.7*6t)</t>
    <phoneticPr fontId="3" type="noConversion"/>
  </si>
  <si>
    <t>0.7*0.7*6t</t>
    <phoneticPr fontId="3" type="noConversion"/>
  </si>
  <si>
    <t>물가자료 12월 215P</t>
    <phoneticPr fontId="3" type="noConversion"/>
  </si>
  <si>
    <t>말구 ø9 - 15 ㎝  ℓ=1.8 - 2.7 m</t>
    <phoneticPr fontId="3" type="noConversion"/>
  </si>
  <si>
    <t>물정∥(15/01-468)성우기술</t>
    <phoneticPr fontId="3" type="noConversion"/>
  </si>
  <si>
    <t>콘크리트용커터</t>
    <phoneticPr fontId="3" type="noConversion"/>
  </si>
  <si>
    <t>휘발유</t>
    <phoneticPr fontId="3" type="noConversion"/>
  </si>
  <si>
    <t>혼합석(50mm)</t>
    <phoneticPr fontId="3" type="noConversion"/>
  </si>
  <si>
    <t>깬잡석(50mm)</t>
    <phoneticPr fontId="3" type="noConversion"/>
  </si>
  <si>
    <t>혼합석</t>
    <phoneticPr fontId="3" type="noConversion"/>
  </si>
  <si>
    <t>뒤채움 혼합석(50mm)</t>
    <phoneticPr fontId="3" type="noConversion"/>
  </si>
  <si>
    <t>구        조       물       명</t>
    <phoneticPr fontId="3" type="noConversion"/>
  </si>
  <si>
    <t>비고</t>
    <phoneticPr fontId="3" type="noConversion"/>
  </si>
  <si>
    <t>m</t>
    <phoneticPr fontId="3" type="noConversion"/>
  </si>
  <si>
    <t>Elastic Filler(t=12mm)</t>
    <phoneticPr fontId="3" type="noConversion"/>
  </si>
  <si>
    <t>PVC 지수판(B=200mm, T=5mm)</t>
    <phoneticPr fontId="3" type="noConversion"/>
  </si>
  <si>
    <t>1m</t>
    <phoneticPr fontId="3" type="noConversion"/>
  </si>
  <si>
    <t>1㎡</t>
    <phoneticPr fontId="3" type="noConversion"/>
  </si>
  <si>
    <t>신축이음재</t>
    <phoneticPr fontId="3" type="noConversion"/>
  </si>
  <si>
    <t>못</t>
    <phoneticPr fontId="3" type="noConversion"/>
  </si>
  <si>
    <t>제작운반설치비</t>
    <phoneticPr fontId="3" type="noConversion"/>
  </si>
  <si>
    <t>재료비의10%</t>
    <phoneticPr fontId="3" type="noConversion"/>
  </si>
  <si>
    <t xml:space="preserve"> </t>
    <phoneticPr fontId="3" type="noConversion"/>
  </si>
  <si>
    <t>PVC지수판</t>
    <phoneticPr fontId="3" type="noConversion"/>
  </si>
  <si>
    <t>5*200mm</t>
    <phoneticPr fontId="3" type="noConversion"/>
  </si>
  <si>
    <t>보통철선</t>
    <phoneticPr fontId="3" type="noConversion"/>
  </si>
  <si>
    <t>#8,D=4.0mm</t>
    <phoneticPr fontId="3" type="noConversion"/>
  </si>
  <si>
    <t>특별인부</t>
    <phoneticPr fontId="3" type="noConversion"/>
  </si>
  <si>
    <t>보통인부</t>
    <phoneticPr fontId="3" type="noConversion"/>
  </si>
  <si>
    <t>노무비의 3%</t>
    <phoneticPr fontId="3" type="noConversion"/>
  </si>
  <si>
    <t>인</t>
    <phoneticPr fontId="3" type="noConversion"/>
  </si>
  <si>
    <t>%</t>
    <phoneticPr fontId="3" type="noConversion"/>
  </si>
  <si>
    <t>㎏</t>
    <phoneticPr fontId="3" type="noConversion"/>
  </si>
  <si>
    <t>m</t>
    <phoneticPr fontId="3" type="noConversion"/>
  </si>
  <si>
    <t>PVC 지수판(B=230mm, T=5mm)</t>
    <phoneticPr fontId="3" type="noConversion"/>
  </si>
  <si>
    <t>EXP.jointfiller 12mm</t>
    <phoneticPr fontId="3" type="noConversion"/>
  </si>
  <si>
    <t>㎡</t>
    <phoneticPr fontId="3" type="noConversion"/>
  </si>
  <si>
    <t>N50</t>
    <phoneticPr fontId="3" type="noConversion"/>
  </si>
  <si>
    <t>수도용PE관</t>
    <phoneticPr fontId="3" type="noConversion"/>
  </si>
  <si>
    <t>110mm</t>
    <phoneticPr fontId="3" type="noConversion"/>
  </si>
  <si>
    <t>160mm</t>
    <phoneticPr fontId="3" type="noConversion"/>
  </si>
  <si>
    <t>315mm</t>
    <phoneticPr fontId="3" type="noConversion"/>
  </si>
  <si>
    <t>1m당</t>
    <phoneticPr fontId="3" type="noConversion"/>
  </si>
  <si>
    <t>노무비</t>
    <phoneticPr fontId="3" type="noConversion"/>
  </si>
  <si>
    <t>재   료   계   산   서</t>
    <phoneticPr fontId="3" type="noConversion"/>
  </si>
  <si>
    <t>225mm</t>
    <phoneticPr fontId="3" type="noConversion"/>
  </si>
  <si>
    <t>1. 용수량확보  2. 작물재배여건 구축  3. 농업생산량 증대</t>
    <phoneticPr fontId="3" type="noConversion"/>
  </si>
  <si>
    <t>토목</t>
    <phoneticPr fontId="3" type="noConversion"/>
  </si>
  <si>
    <t>잡     지     출</t>
    <phoneticPr fontId="3" type="noConversion"/>
  </si>
  <si>
    <t>인 가 액</t>
    <phoneticPr fontId="3" type="noConversion"/>
  </si>
  <si>
    <t>플랜지소켓</t>
    <phoneticPr fontId="3" type="noConversion"/>
  </si>
  <si>
    <t>∮225mm</t>
    <phoneticPr fontId="3" type="noConversion"/>
  </si>
  <si>
    <t>물가자료 12월</t>
    <phoneticPr fontId="3" type="noConversion"/>
  </si>
  <si>
    <t xml:space="preserve"> </t>
    <phoneticPr fontId="3" type="noConversion"/>
  </si>
  <si>
    <t>워터젯트</t>
    <phoneticPr fontId="3" type="noConversion"/>
  </si>
  <si>
    <t>워터젯트(96Kw)</t>
    <phoneticPr fontId="3" type="noConversion"/>
  </si>
  <si>
    <t xml:space="preserve"> </t>
    <phoneticPr fontId="3" type="noConversion"/>
  </si>
  <si>
    <t>윈치(싱글자동 3톤)</t>
    <phoneticPr fontId="3" type="noConversion"/>
  </si>
  <si>
    <t>윈치</t>
    <phoneticPr fontId="3" type="noConversion"/>
  </si>
  <si>
    <t>수중펌프</t>
    <phoneticPr fontId="3" type="noConversion"/>
  </si>
  <si>
    <t>80mm</t>
    <phoneticPr fontId="3" type="noConversion"/>
  </si>
  <si>
    <t>수중펌프(80mm)</t>
    <phoneticPr fontId="3" type="noConversion"/>
  </si>
  <si>
    <t>1㎡</t>
    <phoneticPr fontId="3" type="noConversion"/>
  </si>
  <si>
    <t>특별인부</t>
    <phoneticPr fontId="3" type="noConversion"/>
  </si>
  <si>
    <t>인</t>
    <phoneticPr fontId="3" type="noConversion"/>
  </si>
  <si>
    <t>노무비의3%</t>
    <phoneticPr fontId="3" type="noConversion"/>
  </si>
  <si>
    <t>1m당</t>
    <phoneticPr fontId="3" type="noConversion"/>
  </si>
  <si>
    <t>융착기(200~300mm)</t>
    <phoneticPr fontId="3" type="noConversion"/>
  </si>
  <si>
    <t xml:space="preserve">  재   료   비</t>
    <phoneticPr fontId="3" type="noConversion"/>
  </si>
  <si>
    <t>건축목공</t>
    <phoneticPr fontId="3" type="noConversion"/>
  </si>
  <si>
    <t>창호공</t>
    <phoneticPr fontId="3" type="noConversion"/>
  </si>
  <si>
    <t>도장공</t>
    <phoneticPr fontId="3" type="noConversion"/>
  </si>
  <si>
    <t>철공</t>
    <phoneticPr fontId="3" type="noConversion"/>
  </si>
  <si>
    <t>내장공</t>
    <phoneticPr fontId="3" type="noConversion"/>
  </si>
  <si>
    <t>철근공</t>
    <phoneticPr fontId="3" type="noConversion"/>
  </si>
  <si>
    <t>화약취급공</t>
    <phoneticPr fontId="3" type="noConversion"/>
  </si>
  <si>
    <t>철판공</t>
    <phoneticPr fontId="3" type="noConversion"/>
  </si>
  <si>
    <t>착암공</t>
    <phoneticPr fontId="3" type="noConversion"/>
  </si>
  <si>
    <t>샷시공</t>
    <phoneticPr fontId="3" type="noConversion"/>
  </si>
  <si>
    <t>절단공</t>
    <phoneticPr fontId="3" type="noConversion"/>
  </si>
  <si>
    <t>포설공</t>
    <phoneticPr fontId="3" type="noConversion"/>
  </si>
  <si>
    <t>석공</t>
    <phoneticPr fontId="3" type="noConversion"/>
  </si>
  <si>
    <t>비계공</t>
    <phoneticPr fontId="3" type="noConversion"/>
  </si>
  <si>
    <t>인력운반공(목도)</t>
    <phoneticPr fontId="3" type="noConversion"/>
  </si>
  <si>
    <t>방수공</t>
    <phoneticPr fontId="3" type="noConversion"/>
  </si>
  <si>
    <t>코킹공</t>
    <phoneticPr fontId="3" type="noConversion"/>
  </si>
  <si>
    <t>콘크리트조립식배수관(2.0×1.2)</t>
    <phoneticPr fontId="3" type="noConversion"/>
  </si>
  <si>
    <t>조립식구조물설치 2000B (3900~4100kg)</t>
    <phoneticPr fontId="3" type="noConversion"/>
  </si>
  <si>
    <t>조립식구조물설치(2.0×1.2,  3900~4100kg)</t>
    <phoneticPr fontId="3" type="noConversion"/>
  </si>
  <si>
    <t>조립식구조물설치(1200B 1900~2100kg)</t>
    <phoneticPr fontId="3" type="noConversion"/>
  </si>
  <si>
    <t>조립식구조물설치(1000C 1300~1500kg)</t>
    <phoneticPr fontId="3" type="noConversion"/>
  </si>
  <si>
    <t>조립식배수관(2000*1200)</t>
    <phoneticPr fontId="3" type="noConversion"/>
  </si>
  <si>
    <t>2000*1200</t>
    <phoneticPr fontId="3" type="noConversion"/>
  </si>
  <si>
    <t>2.0×1.2</t>
    <phoneticPr fontId="3" type="noConversion"/>
  </si>
  <si>
    <t>2.0×1.2</t>
    <phoneticPr fontId="3" type="noConversion"/>
  </si>
  <si>
    <t>조립식구조물설치(1500B, 2300~2500kg)</t>
    <phoneticPr fontId="3" type="noConversion"/>
  </si>
  <si>
    <t>조립식구조물설치 1500B (2300~2500kg)</t>
    <phoneticPr fontId="3" type="noConversion"/>
  </si>
  <si>
    <t>콘크리트조립식배수관(2.0×1.2)</t>
    <phoneticPr fontId="3" type="noConversion"/>
  </si>
  <si>
    <t>기계경비</t>
    <phoneticPr fontId="3" type="noConversion"/>
  </si>
  <si>
    <t>PE수도관 접합 및 부설 D250</t>
    <phoneticPr fontId="3" type="noConversion"/>
  </si>
  <si>
    <t>PE수도관</t>
    <phoneticPr fontId="3" type="noConversion"/>
  </si>
  <si>
    <t>D250</t>
    <phoneticPr fontId="3" type="noConversion"/>
  </si>
  <si>
    <t>PE수도관 접합 및 부설 D400</t>
    <phoneticPr fontId="3" type="noConversion"/>
  </si>
  <si>
    <t>D350</t>
    <phoneticPr fontId="3" type="noConversion"/>
  </si>
  <si>
    <t>D400</t>
    <phoneticPr fontId="3" type="noConversion"/>
  </si>
  <si>
    <t>D450</t>
    <phoneticPr fontId="3" type="noConversion"/>
  </si>
  <si>
    <t>(0.34/6)</t>
    <phoneticPr fontId="3" type="noConversion"/>
  </si>
  <si>
    <t>(0.12/6)</t>
    <phoneticPr fontId="3" type="noConversion"/>
  </si>
  <si>
    <t>(0.36/6)</t>
    <phoneticPr fontId="3" type="noConversion"/>
  </si>
  <si>
    <t>(0.39/6)</t>
    <phoneticPr fontId="3" type="noConversion"/>
  </si>
  <si>
    <t>(0.13/6)</t>
    <phoneticPr fontId="3" type="noConversion"/>
  </si>
  <si>
    <t>PE수도관 접합 및 부설 D350</t>
    <phoneticPr fontId="3" type="noConversion"/>
  </si>
  <si>
    <t>PE수도관 접합 및 부설 D450</t>
    <phoneticPr fontId="3" type="noConversion"/>
  </si>
  <si>
    <t>재료또는치수</t>
    <phoneticPr fontId="3" type="noConversion"/>
  </si>
  <si>
    <t>이             윤</t>
    <phoneticPr fontId="3" type="noConversion"/>
  </si>
  <si>
    <t>부 가 가 치 세</t>
    <phoneticPr fontId="3" type="noConversion"/>
  </si>
  <si>
    <t>일 반 관 리 비</t>
    <phoneticPr fontId="3" type="noConversion"/>
  </si>
  <si>
    <t>소         계</t>
    <phoneticPr fontId="3" type="noConversion"/>
  </si>
  <si>
    <t>경         비</t>
    <phoneticPr fontId="3" type="noConversion"/>
  </si>
  <si>
    <t>소        계</t>
    <phoneticPr fontId="3" type="noConversion"/>
  </si>
  <si>
    <t>합             계</t>
    <phoneticPr fontId="3" type="noConversion"/>
  </si>
  <si>
    <t>총             계</t>
    <phoneticPr fontId="3" type="noConversion"/>
  </si>
  <si>
    <t>가정(19/01),표층,BB-2</t>
    <phoneticPr fontId="3" type="noConversion"/>
  </si>
  <si>
    <t>가정(19/01),기층,WC-2</t>
    <phoneticPr fontId="3" type="noConversion"/>
  </si>
  <si>
    <t xml:space="preserve"> </t>
    <phoneticPr fontId="3" type="noConversion"/>
  </si>
  <si>
    <t>h</t>
    <phoneticPr fontId="3" type="noConversion"/>
  </si>
  <si>
    <t>창호공으로통합</t>
    <phoneticPr fontId="3" type="noConversion"/>
  </si>
  <si>
    <t>철공으로통합</t>
    <phoneticPr fontId="3" type="noConversion"/>
  </si>
  <si>
    <t xml:space="preserve"> 조적공</t>
    <phoneticPr fontId="3" type="noConversion"/>
  </si>
  <si>
    <t>건설기계운전사</t>
    <phoneticPr fontId="3" type="noConversion"/>
  </si>
  <si>
    <t>건설기계조장</t>
    <phoneticPr fontId="3" type="noConversion"/>
  </si>
  <si>
    <t>화물차운전사</t>
    <phoneticPr fontId="3" type="noConversion"/>
  </si>
  <si>
    <t>일반기계운전사</t>
    <phoneticPr fontId="3" type="noConversion"/>
  </si>
  <si>
    <t>건설기계운전조수</t>
    <phoneticPr fontId="3" type="noConversion"/>
  </si>
  <si>
    <t>폐지</t>
    <phoneticPr fontId="3" type="noConversion"/>
  </si>
  <si>
    <t>기계설비공</t>
    <phoneticPr fontId="3" type="noConversion"/>
  </si>
  <si>
    <t>유리공</t>
    <phoneticPr fontId="3" type="noConversion"/>
  </si>
  <si>
    <t>덕트공(함석공+덕트공)</t>
    <phoneticPr fontId="3" type="noConversion"/>
  </si>
  <si>
    <t>할석공</t>
    <phoneticPr fontId="3" type="noConversion"/>
  </si>
  <si>
    <t>연마공</t>
    <phoneticPr fontId="3" type="noConversion"/>
  </si>
  <si>
    <t>플랜트용접공</t>
    <phoneticPr fontId="3" type="noConversion"/>
  </si>
  <si>
    <t>조경공</t>
    <phoneticPr fontId="3" type="noConversion"/>
  </si>
  <si>
    <t xml:space="preserve"> </t>
    <phoneticPr fontId="3" type="noConversion"/>
  </si>
  <si>
    <t>PE수도관 접합 및 부설 D150</t>
    <phoneticPr fontId="3" type="noConversion"/>
  </si>
  <si>
    <t>0.18/6</t>
    <phoneticPr fontId="3" type="noConversion"/>
  </si>
  <si>
    <t>0.09/6</t>
    <phoneticPr fontId="3" type="noConversion"/>
  </si>
  <si>
    <t>인력품의7%</t>
    <phoneticPr fontId="3" type="noConversion"/>
  </si>
  <si>
    <t>PE수도관 접합 및 부설 D200</t>
    <phoneticPr fontId="3" type="noConversion"/>
  </si>
  <si>
    <t>D150</t>
    <phoneticPr fontId="3" type="noConversion"/>
  </si>
  <si>
    <t>D200</t>
    <phoneticPr fontId="3" type="noConversion"/>
  </si>
  <si>
    <t>0.21/6</t>
    <phoneticPr fontId="3" type="noConversion"/>
  </si>
  <si>
    <t>0.10/6</t>
    <phoneticPr fontId="3" type="noConversion"/>
  </si>
  <si>
    <t>(0.24/6)</t>
    <phoneticPr fontId="3" type="noConversion"/>
  </si>
  <si>
    <t>(0.12/6)</t>
    <phoneticPr fontId="3" type="noConversion"/>
  </si>
  <si>
    <t>준설(인력)</t>
    <phoneticPr fontId="3" type="noConversion"/>
  </si>
  <si>
    <t>1㎥</t>
    <phoneticPr fontId="3" type="noConversion"/>
  </si>
  <si>
    <t>고압세척</t>
    <phoneticPr fontId="3" type="noConversion"/>
  </si>
  <si>
    <t>와이어메쉬</t>
    <phoneticPr fontId="3" type="noConversion"/>
  </si>
  <si>
    <t>기구손료</t>
    <phoneticPr fontId="3" type="noConversion"/>
  </si>
  <si>
    <t xml:space="preserve"> 합    계</t>
    <phoneticPr fontId="3" type="noConversion"/>
  </si>
  <si>
    <t>(1m 당)</t>
    <phoneticPr fontId="3" type="noConversion"/>
  </si>
  <si>
    <t>인  가</t>
    <phoneticPr fontId="3" type="noConversion"/>
  </si>
  <si>
    <t>폐기물처리비</t>
    <phoneticPr fontId="3" type="noConversion"/>
  </si>
  <si>
    <t>공구손료</t>
    <phoneticPr fontId="3" type="noConversion"/>
  </si>
  <si>
    <t>인력품믜5%</t>
    <phoneticPr fontId="3" type="noConversion"/>
  </si>
  <si>
    <t>보통인부</t>
    <phoneticPr fontId="3" type="noConversion"/>
  </si>
  <si>
    <t>굴삭기</t>
    <phoneticPr fontId="3" type="noConversion"/>
  </si>
  <si>
    <t>hr</t>
    <phoneticPr fontId="3" type="noConversion"/>
  </si>
  <si>
    <t>콘크리트진동기(엔진식) 45ø  2.6Kw</t>
    <phoneticPr fontId="3" type="noConversion"/>
  </si>
  <si>
    <t>D500</t>
    <phoneticPr fontId="3" type="noConversion"/>
  </si>
  <si>
    <t>0.26 / 6</t>
    <phoneticPr fontId="3" type="noConversion"/>
  </si>
  <si>
    <t>0.13 / 6</t>
    <phoneticPr fontId="3" type="noConversion"/>
  </si>
  <si>
    <t>① D13</t>
    <phoneticPr fontId="3" type="noConversion"/>
  </si>
  <si>
    <t>② D13</t>
    <phoneticPr fontId="3" type="noConversion"/>
  </si>
  <si>
    <t>수  로  관   덮  개  구  조  도</t>
    <phoneticPr fontId="3" type="noConversion"/>
  </si>
  <si>
    <t>번호</t>
    <phoneticPr fontId="3" type="noConversion"/>
  </si>
  <si>
    <t>간격</t>
    <phoneticPr fontId="3" type="noConversion"/>
  </si>
  <si>
    <t xml:space="preserve">본장 </t>
    <phoneticPr fontId="3" type="noConversion"/>
  </si>
  <si>
    <t>본수</t>
    <phoneticPr fontId="3" type="noConversion"/>
  </si>
  <si>
    <t xml:space="preserve">연장 </t>
    <phoneticPr fontId="3" type="noConversion"/>
  </si>
  <si>
    <t>①</t>
    <phoneticPr fontId="3" type="noConversion"/>
  </si>
  <si>
    <t>②</t>
    <phoneticPr fontId="3" type="noConversion"/>
  </si>
  <si>
    <t>D13</t>
    <phoneticPr fontId="3" type="noConversion"/>
  </si>
  <si>
    <t>Total :</t>
    <phoneticPr fontId="3" type="noConversion"/>
  </si>
  <si>
    <t>철    근    표</t>
    <phoneticPr fontId="3" type="noConversion"/>
  </si>
  <si>
    <t xml:space="preserve">   D13 : 17.4 * 0.995 =   17.31㎏</t>
    <phoneticPr fontId="3" type="noConversion"/>
  </si>
  <si>
    <t>단  면  도</t>
    <phoneticPr fontId="3" type="noConversion"/>
  </si>
  <si>
    <t>평  면  도</t>
    <phoneticPr fontId="3" type="noConversion"/>
  </si>
  <si>
    <t>와이어메쉬</t>
    <phoneticPr fontId="3" type="noConversion"/>
  </si>
  <si>
    <t>1/(1.1*100)</t>
    <phoneticPr fontId="3" type="noConversion"/>
  </si>
  <si>
    <t xml:space="preserve"> </t>
    <phoneticPr fontId="3" type="noConversion"/>
  </si>
  <si>
    <t>보통인부</t>
    <phoneticPr fontId="3" type="noConversion"/>
  </si>
  <si>
    <t>비닐</t>
    <phoneticPr fontId="3" type="noConversion"/>
  </si>
  <si>
    <t>PE필름 0.1mm</t>
    <phoneticPr fontId="3" type="noConversion"/>
  </si>
  <si>
    <t>㎡</t>
    <phoneticPr fontId="3" type="noConversion"/>
  </si>
  <si>
    <t>물가자료 12월</t>
    <phoneticPr fontId="3" type="noConversion"/>
  </si>
  <si>
    <t>1/(1.1*150)</t>
    <phoneticPr fontId="3" type="noConversion"/>
  </si>
  <si>
    <t>백호0.4㎥</t>
    <phoneticPr fontId="3" type="noConversion"/>
  </si>
  <si>
    <t>백호  0.4㎥</t>
    <phoneticPr fontId="3" type="noConversion"/>
  </si>
  <si>
    <t>터파기(사질토)</t>
    <phoneticPr fontId="3" type="noConversion"/>
  </si>
  <si>
    <t>0.4㎥</t>
    <phoneticPr fontId="3" type="noConversion"/>
  </si>
  <si>
    <t>터파기(모래,사질토,층따기)</t>
    <phoneticPr fontId="3" type="noConversion"/>
  </si>
  <si>
    <t>f=(1/1.25)=</t>
    <phoneticPr fontId="3" type="noConversion"/>
  </si>
  <si>
    <t>되메움(모래,사질토,층따기)</t>
    <phoneticPr fontId="3" type="noConversion"/>
  </si>
  <si>
    <t>0.7㎥</t>
    <phoneticPr fontId="3" type="noConversion"/>
  </si>
  <si>
    <t>10Ton</t>
    <phoneticPr fontId="3" type="noConversion"/>
  </si>
  <si>
    <t>8Ton</t>
    <phoneticPr fontId="3" type="noConversion"/>
  </si>
  <si>
    <t>싱글자동 13톤</t>
    <phoneticPr fontId="3" type="noConversion"/>
  </si>
  <si>
    <t>5500</t>
    <phoneticPr fontId="3" type="noConversion"/>
  </si>
  <si>
    <t xml:space="preserve">f = 1.0 / 1.25 = </t>
    <phoneticPr fontId="3" type="noConversion"/>
  </si>
  <si>
    <t>되메움(토사:백호+양족견인)</t>
    <phoneticPr fontId="3" type="noConversion"/>
  </si>
  <si>
    <t>백호0.7㎥</t>
    <phoneticPr fontId="3" type="noConversion"/>
  </si>
  <si>
    <t>백호+양족견인</t>
    <phoneticPr fontId="3" type="noConversion"/>
  </si>
  <si>
    <t>참고중량</t>
    <phoneticPr fontId="3" type="noConversion"/>
  </si>
  <si>
    <t>조립식구조물설치(300C 150~300kg)</t>
    <phoneticPr fontId="3" type="noConversion"/>
  </si>
  <si>
    <t>노력비의 8%</t>
    <phoneticPr fontId="3" type="noConversion"/>
  </si>
  <si>
    <t>0.11/ 6</t>
    <phoneticPr fontId="3" type="noConversion"/>
  </si>
  <si>
    <t>0.06 / 6</t>
    <phoneticPr fontId="3" type="noConversion"/>
  </si>
  <si>
    <t>0.15 / 6</t>
    <phoneticPr fontId="3" type="noConversion"/>
  </si>
  <si>
    <t>0.08 / 6</t>
    <phoneticPr fontId="3" type="noConversion"/>
  </si>
  <si>
    <t>0.19 / 6</t>
    <phoneticPr fontId="3" type="noConversion"/>
  </si>
  <si>
    <t>0.10 / 6</t>
    <phoneticPr fontId="3" type="noConversion"/>
  </si>
  <si>
    <t xml:space="preserve"> </t>
    <phoneticPr fontId="3" type="noConversion"/>
  </si>
  <si>
    <t>잡재료</t>
    <phoneticPr fontId="3" type="noConversion"/>
  </si>
  <si>
    <t>인력품의 2%</t>
    <phoneticPr fontId="3" type="noConversion"/>
  </si>
  <si>
    <t xml:space="preserve">콘크리트포장(레미콘:인력, t=0.20)      </t>
    <phoneticPr fontId="3" type="noConversion"/>
  </si>
  <si>
    <t>소모자재</t>
    <phoneticPr fontId="3" type="noConversion"/>
  </si>
  <si>
    <t>주재비의 9%</t>
    <phoneticPr fontId="3" type="noConversion"/>
  </si>
  <si>
    <t>합판거푸집(노무비) 소규모</t>
    <phoneticPr fontId="3" type="noConversion"/>
  </si>
  <si>
    <t>합판거푸집(노무비) 소규모</t>
    <phoneticPr fontId="3" type="noConversion"/>
  </si>
  <si>
    <t>17</t>
    <phoneticPr fontId="3" type="noConversion"/>
  </si>
  <si>
    <t>㎡</t>
    <phoneticPr fontId="3" type="noConversion"/>
  </si>
  <si>
    <t xml:space="preserve">레미콘 : 무근(인력)  </t>
    <phoneticPr fontId="3" type="noConversion"/>
  </si>
  <si>
    <t>레미콘타설(철근구조물) 기계사용</t>
    <phoneticPr fontId="3" type="noConversion"/>
  </si>
  <si>
    <t>레미콘타설(무근구조물) 기계사용</t>
    <phoneticPr fontId="3" type="noConversion"/>
  </si>
  <si>
    <t>레미콘타설(소형구조물) 기계사용</t>
    <phoneticPr fontId="3" type="noConversion"/>
  </si>
  <si>
    <t xml:space="preserve">레미콘 : 소형(인력)  </t>
    <phoneticPr fontId="3" type="noConversion"/>
  </si>
  <si>
    <t xml:space="preserve">레미콘 : 철근(인력)   </t>
    <phoneticPr fontId="3" type="noConversion"/>
  </si>
  <si>
    <t>공구손료및경장비</t>
    <phoneticPr fontId="3" type="noConversion"/>
  </si>
  <si>
    <t>인력품의15%</t>
    <phoneticPr fontId="3" type="noConversion"/>
  </si>
  <si>
    <t>%</t>
    <phoneticPr fontId="3" type="noConversion"/>
  </si>
  <si>
    <t>신청</t>
    <phoneticPr fontId="3" type="noConversion"/>
  </si>
  <si>
    <t>인가</t>
    <phoneticPr fontId="3" type="noConversion"/>
  </si>
  <si>
    <t>신            청</t>
    <phoneticPr fontId="3" type="noConversion"/>
  </si>
  <si>
    <t>인            가</t>
    <phoneticPr fontId="3" type="noConversion"/>
  </si>
  <si>
    <t>신 청 액</t>
    <phoneticPr fontId="3" type="noConversion"/>
  </si>
  <si>
    <t>신청</t>
    <phoneticPr fontId="3" type="noConversion"/>
  </si>
  <si>
    <t>인가</t>
    <phoneticPr fontId="3" type="noConversion"/>
  </si>
  <si>
    <t>신  청</t>
    <phoneticPr fontId="3" type="noConversion"/>
  </si>
  <si>
    <t>신          청</t>
    <phoneticPr fontId="3" type="noConversion"/>
  </si>
  <si>
    <t>㎏</t>
    <phoneticPr fontId="3" type="noConversion"/>
  </si>
  <si>
    <t>㎏</t>
    <phoneticPr fontId="3" type="noConversion"/>
  </si>
  <si>
    <t>모르타르</t>
    <phoneticPr fontId="3" type="noConversion"/>
  </si>
  <si>
    <t>초속경보수용</t>
    <phoneticPr fontId="3" type="noConversion"/>
  </si>
  <si>
    <t>거래가격 7월 108P</t>
    <phoneticPr fontId="3" type="noConversion"/>
  </si>
  <si>
    <t>몰탈</t>
    <phoneticPr fontId="3" type="noConversion"/>
  </si>
  <si>
    <t>초속경</t>
    <phoneticPr fontId="3" type="noConversion"/>
  </si>
  <si>
    <t>표면처리(치핑)</t>
    <phoneticPr fontId="3" type="noConversion"/>
  </si>
  <si>
    <t>치핑및면처리</t>
    <phoneticPr fontId="3" type="noConversion"/>
  </si>
  <si>
    <t>고압세척</t>
    <phoneticPr fontId="3" type="noConversion"/>
  </si>
  <si>
    <t>표면처리</t>
    <phoneticPr fontId="3" type="noConversion"/>
  </si>
  <si>
    <t>단면보수</t>
    <phoneticPr fontId="3" type="noConversion"/>
  </si>
  <si>
    <t>콘크리트 단면보수(방수및보수)</t>
    <phoneticPr fontId="3" type="noConversion"/>
  </si>
  <si>
    <t>1/0.024</t>
    <phoneticPr fontId="3" type="noConversion"/>
  </si>
  <si>
    <t>0.38/10/0.7</t>
    <phoneticPr fontId="3" type="noConversion"/>
  </si>
  <si>
    <t>0.18/10/0.7</t>
    <phoneticPr fontId="3" type="noConversion"/>
  </si>
  <si>
    <t>쌓   기(보통인부)</t>
    <phoneticPr fontId="3" type="noConversion"/>
  </si>
  <si>
    <t>만들기(보통인부)</t>
    <phoneticPr fontId="3" type="noConversion"/>
  </si>
  <si>
    <t>0.09/10/0.7</t>
    <phoneticPr fontId="3" type="noConversion"/>
  </si>
  <si>
    <t>마대(곡물용및기타)</t>
    <phoneticPr fontId="3" type="noConversion"/>
  </si>
  <si>
    <t>굴삭기(무한궤도)0.2㎥</t>
    <phoneticPr fontId="3" type="noConversion"/>
  </si>
  <si>
    <t>굴삭기(무한궤도)1.0㎥</t>
    <phoneticPr fontId="3" type="noConversion"/>
  </si>
  <si>
    <t>1.34/10/0.7(만들기)</t>
    <phoneticPr fontId="3" type="noConversion"/>
  </si>
  <si>
    <t>0.7/10/0.7(쌓기)</t>
    <phoneticPr fontId="3" type="noConversion"/>
  </si>
  <si>
    <t>hr</t>
    <phoneticPr fontId="3" type="noConversion"/>
  </si>
  <si>
    <t>매</t>
    <phoneticPr fontId="3" type="noConversion"/>
  </si>
  <si>
    <t>쌓   기(특별인부)</t>
    <phoneticPr fontId="3" type="noConversion"/>
  </si>
  <si>
    <t xml:space="preserve">유압식백호 0.2㎥  </t>
    <phoneticPr fontId="3" type="noConversion"/>
  </si>
  <si>
    <t>0.2㎥(무한궤도)</t>
    <phoneticPr fontId="3" type="noConversion"/>
  </si>
  <si>
    <t>인</t>
    <phoneticPr fontId="3" type="noConversion"/>
  </si>
  <si>
    <t>헐   기(보통인부)</t>
    <phoneticPr fontId="3" type="noConversion"/>
  </si>
  <si>
    <t>헐   기(특별인부)</t>
    <phoneticPr fontId="3" type="noConversion"/>
  </si>
  <si>
    <t>톤 마대쌓기</t>
    <phoneticPr fontId="3" type="noConversion"/>
  </si>
  <si>
    <t>톤 마대헐기</t>
    <phoneticPr fontId="3" type="noConversion"/>
  </si>
  <si>
    <t>투광기</t>
    <phoneticPr fontId="3" type="noConversion"/>
  </si>
  <si>
    <t>개</t>
    <phoneticPr fontId="3" type="noConversion"/>
  </si>
  <si>
    <t>다이아몬트형(개폐형) 150-400W</t>
    <phoneticPr fontId="3" type="noConversion"/>
  </si>
  <si>
    <t>거래가격 7월 1110P</t>
    <phoneticPr fontId="3" type="noConversion"/>
  </si>
  <si>
    <t>25-21-80</t>
    <phoneticPr fontId="3" type="noConversion"/>
  </si>
  <si>
    <t>4/100</t>
    <phoneticPr fontId="3" type="noConversion"/>
  </si>
  <si>
    <t>2/100</t>
    <phoneticPr fontId="3" type="noConversion"/>
  </si>
  <si>
    <t xml:space="preserve"> - 시설물 제기능 유지</t>
    <phoneticPr fontId="3" type="noConversion"/>
  </si>
  <si>
    <t xml:space="preserve"> - 침수피해방지를 통한 영농환경 개선</t>
    <phoneticPr fontId="3" type="noConversion"/>
  </si>
  <si>
    <t>사업시행자</t>
    <phoneticPr fontId="3" type="noConversion"/>
  </si>
  <si>
    <t>경     비</t>
    <phoneticPr fontId="3" type="noConversion"/>
  </si>
  <si>
    <t>총     액</t>
    <phoneticPr fontId="3" type="noConversion"/>
  </si>
  <si>
    <t xml:space="preserve">재료 또는 </t>
    <phoneticPr fontId="3" type="noConversion"/>
  </si>
  <si>
    <t xml:space="preserve"> 치    수</t>
    <phoneticPr fontId="3" type="noConversion"/>
  </si>
  <si>
    <t>PE관 D=200</t>
    <phoneticPr fontId="3" type="noConversion"/>
  </si>
  <si>
    <t>PE관 D=500</t>
    <phoneticPr fontId="3" type="noConversion"/>
  </si>
  <si>
    <t>0.21/6</t>
    <phoneticPr fontId="3" type="noConversion"/>
  </si>
  <si>
    <t>0.24/6</t>
    <phoneticPr fontId="3" type="noConversion"/>
  </si>
  <si>
    <t>0.12/6</t>
    <phoneticPr fontId="3" type="noConversion"/>
  </si>
  <si>
    <t>0.10/6</t>
    <phoneticPr fontId="3" type="noConversion"/>
  </si>
  <si>
    <t>0.26/6</t>
    <phoneticPr fontId="3" type="noConversion"/>
  </si>
  <si>
    <t>0.13/6</t>
    <phoneticPr fontId="3" type="noConversion"/>
  </si>
  <si>
    <t>PE관 부설접합(전기융착식) D=500</t>
    <phoneticPr fontId="3" type="noConversion"/>
  </si>
  <si>
    <t>0.40/6</t>
    <phoneticPr fontId="3" type="noConversion"/>
  </si>
  <si>
    <t>0.20/6</t>
    <phoneticPr fontId="3" type="noConversion"/>
  </si>
  <si>
    <t>0.18/6</t>
    <phoneticPr fontId="3" type="noConversion"/>
  </si>
  <si>
    <t>0.09/6</t>
    <phoneticPr fontId="3" type="noConversion"/>
  </si>
  <si>
    <t>D300mm</t>
    <phoneticPr fontId="3" type="noConversion"/>
  </si>
  <si>
    <t>D500mm</t>
    <phoneticPr fontId="3" type="noConversion"/>
  </si>
  <si>
    <t>D=200</t>
    <phoneticPr fontId="3" type="noConversion"/>
  </si>
  <si>
    <t>PE관운반 (D500mm)</t>
    <phoneticPr fontId="3" type="noConversion"/>
  </si>
  <si>
    <t>PE관(D500mm)운반</t>
    <phoneticPr fontId="3" type="noConversion"/>
  </si>
  <si>
    <t>D=500</t>
    <phoneticPr fontId="3" type="noConversion"/>
  </si>
  <si>
    <t>D800</t>
    <phoneticPr fontId="3" type="noConversion"/>
  </si>
  <si>
    <t>강관용접</t>
    <phoneticPr fontId="3" type="noConversion"/>
  </si>
  <si>
    <t>강관용접</t>
    <phoneticPr fontId="3" type="noConversion"/>
  </si>
  <si>
    <t>1개소</t>
    <phoneticPr fontId="3" type="noConversion"/>
  </si>
  <si>
    <t>인력품의3%</t>
    <phoneticPr fontId="3" type="noConversion"/>
  </si>
  <si>
    <t>%</t>
    <phoneticPr fontId="3" type="noConversion"/>
  </si>
  <si>
    <t>수로관보수(죠인트보수)</t>
    <phoneticPr fontId="3" type="noConversion"/>
  </si>
  <si>
    <t>자갈부설</t>
    <phoneticPr fontId="3" type="noConversion"/>
  </si>
  <si>
    <t>급배수관 부설 D300</t>
    <phoneticPr fontId="3" type="noConversion"/>
  </si>
  <si>
    <t>방수문</t>
    <phoneticPr fontId="3" type="noConversion"/>
  </si>
  <si>
    <t>분수문</t>
    <phoneticPr fontId="3" type="noConversion"/>
  </si>
  <si>
    <t>32mm</t>
  </si>
  <si>
    <t>설계단가</t>
  </si>
  <si>
    <t>셋트앙카</t>
  </si>
  <si>
    <t>1/2*100l</t>
  </si>
  <si>
    <t>물정p92</t>
  </si>
  <si>
    <t>잡철물제작설치</t>
  </si>
  <si>
    <t>보통구조</t>
  </si>
  <si>
    <t>수문일위</t>
  </si>
  <si>
    <t>열연강판(박판)</t>
  </si>
  <si>
    <t>6t</t>
  </si>
  <si>
    <t>물정p58</t>
  </si>
  <si>
    <t>평강</t>
  </si>
  <si>
    <t>100*6t</t>
  </si>
  <si>
    <t>물정48</t>
  </si>
  <si>
    <t>50*9t</t>
  </si>
  <si>
    <t>ㄱ형강</t>
  </si>
  <si>
    <t>50*50*6t</t>
  </si>
  <si>
    <t>물정p49</t>
  </si>
  <si>
    <t>취부금구</t>
  </si>
  <si>
    <t>백관</t>
    <phoneticPr fontId="3" type="noConversion"/>
  </si>
  <si>
    <t>25mm</t>
    <phoneticPr fontId="3" type="noConversion"/>
  </si>
  <si>
    <t>물정p718</t>
    <phoneticPr fontId="3" type="noConversion"/>
  </si>
  <si>
    <t>방수문</t>
    <phoneticPr fontId="3" type="noConversion"/>
  </si>
  <si>
    <t>분수문</t>
    <phoneticPr fontId="3" type="noConversion"/>
  </si>
  <si>
    <t xml:space="preserve">PVC 관(D=100㎜) </t>
    <phoneticPr fontId="3" type="noConversion"/>
  </si>
  <si>
    <t>Φ125mm</t>
    <phoneticPr fontId="3" type="noConversion"/>
  </si>
  <si>
    <t>배관공</t>
    <phoneticPr fontId="3" type="noConversion"/>
  </si>
  <si>
    <t>보통인부</t>
    <phoneticPr fontId="3" type="noConversion"/>
  </si>
  <si>
    <t>인</t>
    <phoneticPr fontId="3" type="noConversion"/>
  </si>
  <si>
    <t>0.11/4</t>
    <phoneticPr fontId="3" type="noConversion"/>
  </si>
  <si>
    <t>0.06/4</t>
    <phoneticPr fontId="3" type="noConversion"/>
  </si>
  <si>
    <r>
      <t>VG1 KS D125mm</t>
    </r>
    <r>
      <rPr>
        <b/>
        <sz val="11"/>
        <rFont val="돋움"/>
        <family val="3"/>
        <charset val="129"/>
      </rPr>
      <t/>
    </r>
    <phoneticPr fontId="3" type="noConversion"/>
  </si>
  <si>
    <t>수로관숭상(H=0.3m)</t>
    <phoneticPr fontId="3" type="noConversion"/>
  </si>
  <si>
    <t>25-24-12</t>
    <phoneticPr fontId="3" type="noConversion"/>
  </si>
  <si>
    <t>유로폼</t>
    <phoneticPr fontId="3" type="noConversion"/>
  </si>
  <si>
    <t>벽체, 0~7m</t>
    <phoneticPr fontId="3" type="noConversion"/>
  </si>
  <si>
    <t>철근가공및조립</t>
    <phoneticPr fontId="3" type="noConversion"/>
  </si>
  <si>
    <t>간단</t>
    <phoneticPr fontId="3" type="noConversion"/>
  </si>
  <si>
    <t>Ton</t>
    <phoneticPr fontId="3" type="noConversion"/>
  </si>
  <si>
    <t>B=150mm, T=5mm</t>
    <phoneticPr fontId="3" type="noConversion"/>
  </si>
  <si>
    <t>콘크리트천공</t>
    <phoneticPr fontId="3" type="noConversion"/>
  </si>
  <si>
    <t>콘크리트천공(D25mm)</t>
    <phoneticPr fontId="3" type="noConversion"/>
  </si>
  <si>
    <t>기존수로관숭상(T=0.15, H=0.3m)</t>
    <phoneticPr fontId="3" type="noConversion"/>
  </si>
  <si>
    <t>콘크리트천공(D23)</t>
    <phoneticPr fontId="3" type="noConversion"/>
  </si>
  <si>
    <t>25-210-80</t>
    <phoneticPr fontId="3" type="noConversion"/>
  </si>
  <si>
    <t>25-240-80</t>
    <phoneticPr fontId="3" type="noConversion"/>
  </si>
  <si>
    <t>25-180-80</t>
    <phoneticPr fontId="3" type="noConversion"/>
  </si>
  <si>
    <t>25-160-80</t>
    <phoneticPr fontId="3" type="noConversion"/>
  </si>
  <si>
    <t>수로관숭상(H=0.2m)</t>
    <phoneticPr fontId="3" type="noConversion"/>
  </si>
  <si>
    <t>인력품의2%</t>
    <phoneticPr fontId="3" type="noConversion"/>
  </si>
  <si>
    <t>기존수로관숭상(T=0.15, H=0.2m)</t>
    <phoneticPr fontId="3" type="noConversion"/>
  </si>
  <si>
    <t>와이어메쉬</t>
    <phoneticPr fontId="3" type="noConversion"/>
  </si>
  <si>
    <t>#6,100*100</t>
    <phoneticPr fontId="3" type="noConversion"/>
  </si>
  <si>
    <t>배관공(수도)</t>
    <phoneticPr fontId="3" type="noConversion"/>
  </si>
  <si>
    <t>공구손료및경장비</t>
    <phoneticPr fontId="3" type="noConversion"/>
  </si>
  <si>
    <t>인력품의5%</t>
    <phoneticPr fontId="3" type="noConversion"/>
  </si>
  <si>
    <t>%</t>
    <phoneticPr fontId="3" type="noConversion"/>
  </si>
  <si>
    <t>트랙터(타이어)</t>
    <phoneticPr fontId="3" type="noConversion"/>
  </si>
  <si>
    <t>트랙터(타이어) 2.5Ton</t>
    <phoneticPr fontId="3" type="noConversion"/>
  </si>
  <si>
    <t>유류대보정계수:</t>
    <phoneticPr fontId="3" type="noConversion"/>
  </si>
  <si>
    <t>(Cm-t/Cm=</t>
    <phoneticPr fontId="3" type="noConversion"/>
  </si>
  <si>
    <t xml:space="preserve">하차 : </t>
    <phoneticPr fontId="3" type="noConversion"/>
  </si>
  <si>
    <t>t =</t>
    <phoneticPr fontId="3" type="noConversion"/>
  </si>
  <si>
    <t>30 분</t>
    <phoneticPr fontId="3" type="noConversion"/>
  </si>
  <si>
    <t>a=</t>
    <phoneticPr fontId="3" type="noConversion"/>
  </si>
  <si>
    <t>5 인</t>
    <phoneticPr fontId="3" type="noConversion"/>
  </si>
  <si>
    <t>Q =</t>
    <phoneticPr fontId="3" type="noConversion"/>
  </si>
  <si>
    <t>t / 450 * a / q</t>
    <phoneticPr fontId="3" type="noConversion"/>
  </si>
  <si>
    <t>싣고부리기:</t>
    <phoneticPr fontId="3" type="noConversion"/>
  </si>
  <si>
    <t>A =</t>
    <phoneticPr fontId="3" type="noConversion"/>
  </si>
  <si>
    <t>13*2/(450*q)</t>
    <phoneticPr fontId="3" type="noConversion"/>
  </si>
  <si>
    <t xml:space="preserve">Q = 60 * q * f * E / cm  </t>
    <phoneticPr fontId="3" type="noConversion"/>
  </si>
  <si>
    <t>Q(트랙터)</t>
    <phoneticPr fontId="3" type="noConversion"/>
  </si>
  <si>
    <t>㎞</t>
    <phoneticPr fontId="3" type="noConversion"/>
  </si>
  <si>
    <t>2.5Ton</t>
    <phoneticPr fontId="3" type="noConversion"/>
  </si>
  <si>
    <t>트랙터(타이어)(2.5Ton)</t>
    <phoneticPr fontId="3" type="noConversion"/>
  </si>
  <si>
    <t>잡유(주연료의29%)</t>
    <phoneticPr fontId="3" type="noConversion"/>
  </si>
  <si>
    <t>D1500</t>
    <phoneticPr fontId="3" type="noConversion"/>
  </si>
  <si>
    <t>종     별</t>
    <phoneticPr fontId="3" type="noConversion"/>
  </si>
  <si>
    <t>특별인부</t>
    <phoneticPr fontId="3" type="noConversion"/>
  </si>
  <si>
    <t>보통인부</t>
    <phoneticPr fontId="3" type="noConversion"/>
  </si>
  <si>
    <t>인</t>
    <phoneticPr fontId="3" type="noConversion"/>
  </si>
  <si>
    <t>덤프 24ton</t>
    <phoneticPr fontId="3" type="noConversion"/>
  </si>
  <si>
    <t>소켓식흄관고무링접합 D1500</t>
    <phoneticPr fontId="3" type="noConversion"/>
  </si>
  <si>
    <t>수로관</t>
    <phoneticPr fontId="3" type="noConversion"/>
  </si>
  <si>
    <t>1500*1200</t>
    <phoneticPr fontId="3" type="noConversion"/>
  </si>
  <si>
    <t>수로관운반 (1500*1200)</t>
    <phoneticPr fontId="3" type="noConversion"/>
  </si>
  <si>
    <t>수로관운반 (2000*1200)</t>
    <phoneticPr fontId="3" type="noConversion"/>
  </si>
  <si>
    <t>수로관운반(2000*1200)</t>
    <phoneticPr fontId="3" type="noConversion"/>
  </si>
  <si>
    <t>D = 1.50</t>
    <phoneticPr fontId="3" type="noConversion"/>
  </si>
  <si>
    <t>퇴직공제부금비</t>
    <phoneticPr fontId="3" type="noConversion"/>
  </si>
  <si>
    <t>15톤</t>
    <phoneticPr fontId="3" type="noConversion"/>
  </si>
  <si>
    <t>25톤</t>
    <phoneticPr fontId="3" type="noConversion"/>
  </si>
  <si>
    <t>35톤</t>
    <phoneticPr fontId="3" type="noConversion"/>
  </si>
  <si>
    <t>131Kw</t>
    <phoneticPr fontId="3" type="noConversion"/>
  </si>
  <si>
    <t>조립식축조블럭</t>
    <phoneticPr fontId="3" type="noConversion"/>
  </si>
  <si>
    <t>조립식축조블럭</t>
    <phoneticPr fontId="3" type="noConversion"/>
  </si>
  <si>
    <t>크레인</t>
    <phoneticPr fontId="3" type="noConversion"/>
  </si>
  <si>
    <t>10톤</t>
    <phoneticPr fontId="3" type="noConversion"/>
  </si>
  <si>
    <t>hr</t>
    <phoneticPr fontId="3" type="noConversion"/>
  </si>
  <si>
    <t>콘크리트옹벽블럭</t>
    <phoneticPr fontId="3" type="noConversion"/>
  </si>
  <si>
    <t>1000*700*500</t>
    <phoneticPr fontId="3" type="noConversion"/>
  </si>
  <si>
    <t>개</t>
    <phoneticPr fontId="3" type="noConversion"/>
  </si>
  <si>
    <t>레미콘</t>
    <phoneticPr fontId="3" type="noConversion"/>
  </si>
  <si>
    <t>25-24-120</t>
    <phoneticPr fontId="3" type="noConversion"/>
  </si>
  <si>
    <t>되메움</t>
    <phoneticPr fontId="3" type="noConversion"/>
  </si>
  <si>
    <t>터파기</t>
    <phoneticPr fontId="102" type="noConversion"/>
  </si>
  <si>
    <t>되메움</t>
    <phoneticPr fontId="102" type="noConversion"/>
  </si>
  <si>
    <t>잔토처리</t>
    <phoneticPr fontId="102" type="noConversion"/>
  </si>
  <si>
    <t>기계</t>
    <phoneticPr fontId="102" type="noConversion"/>
  </si>
  <si>
    <t xml:space="preserve"> </t>
    <phoneticPr fontId="3" type="noConversion"/>
  </si>
  <si>
    <t>사급자재대</t>
    <phoneticPr fontId="3" type="noConversion"/>
  </si>
  <si>
    <t>급배수관 부설 D500</t>
    <phoneticPr fontId="3" type="noConversion"/>
  </si>
  <si>
    <t>종    별</t>
  </si>
  <si>
    <t>원    수</t>
  </si>
  <si>
    <t>총            액</t>
    <phoneticPr fontId="3" type="noConversion"/>
  </si>
  <si>
    <t>경        비</t>
    <phoneticPr fontId="3" type="noConversion"/>
  </si>
  <si>
    <t>비 고</t>
    <phoneticPr fontId="3" type="noConversion"/>
  </si>
  <si>
    <t>금   액</t>
    <phoneticPr fontId="3" type="noConversion"/>
  </si>
  <si>
    <t>폐콘크리트</t>
    <phoneticPr fontId="132" type="noConversion"/>
  </si>
  <si>
    <t>무근</t>
    <phoneticPr fontId="3" type="noConversion"/>
  </si>
  <si>
    <t>계</t>
    <phoneticPr fontId="132" type="noConversion"/>
  </si>
  <si>
    <t>≒</t>
  </si>
  <si>
    <t>합계                      (부가세포함)</t>
    <phoneticPr fontId="3" type="noConversion"/>
  </si>
  <si>
    <t>한국농어촌공사 청양지사장</t>
    <phoneticPr fontId="3" type="noConversion"/>
  </si>
  <si>
    <t>2024 한국농어촌공사 설계단가</t>
    <phoneticPr fontId="3" type="noConversion"/>
  </si>
  <si>
    <t>한국석유공사 '24년 07월 1주</t>
    <phoneticPr fontId="3" type="noConversion"/>
  </si>
  <si>
    <t>'24년 건설폐기물중간처리단가</t>
    <phoneticPr fontId="3" type="noConversion"/>
  </si>
  <si>
    <t>컨테이너운반</t>
    <phoneticPr fontId="3" type="noConversion"/>
  </si>
  <si>
    <t>(3000*6000*3000)</t>
    <phoneticPr fontId="3" type="noConversion"/>
  </si>
  <si>
    <t>트럭탑재형크레인</t>
    <phoneticPr fontId="3" type="noConversion"/>
  </si>
  <si>
    <t>(1000*500*700)</t>
    <phoneticPr fontId="3" type="noConversion"/>
  </si>
  <si>
    <t>충청남도 청양군</t>
    <phoneticPr fontId="3" type="noConversion"/>
  </si>
  <si>
    <t>한국농어촌공사 청양지사</t>
    <phoneticPr fontId="3" type="noConversion"/>
  </si>
  <si>
    <t>계</t>
    <phoneticPr fontId="3" type="noConversion"/>
  </si>
  <si>
    <t>급배수관부설D300(자재미반영)</t>
    <phoneticPr fontId="3" type="noConversion"/>
  </si>
  <si>
    <t>콘크리트 헐기</t>
    <phoneticPr fontId="3" type="noConversion"/>
  </si>
  <si>
    <t>0.2㎡</t>
    <phoneticPr fontId="3" type="noConversion"/>
  </si>
  <si>
    <t>㎥</t>
    <phoneticPr fontId="3" type="noConversion"/>
  </si>
  <si>
    <t>철근콘크리트수로관 해체 1000C</t>
    <phoneticPr fontId="3" type="noConversion"/>
  </si>
  <si>
    <t>철근콘크리트수로관 해체(1000*1000)</t>
    <phoneticPr fontId="3" type="noConversion"/>
  </si>
  <si>
    <t>안 전 관 리 비</t>
    <phoneticPr fontId="3" type="noConversion"/>
  </si>
  <si>
    <t>사 급 자 재 대</t>
    <phoneticPr fontId="3" type="noConversion"/>
  </si>
  <si>
    <t>콘크리트 포장</t>
    <phoneticPr fontId="3" type="noConversion"/>
  </si>
  <si>
    <t>사급</t>
    <phoneticPr fontId="3" type="noConversion"/>
  </si>
  <si>
    <t>○ 송수관로 교체</t>
    <phoneticPr fontId="3" type="noConversion"/>
  </si>
  <si>
    <t xml:space="preserve">n * 6 = </t>
    <phoneticPr fontId="3" type="noConversion"/>
  </si>
  <si>
    <t>1.1 * (0.75 * 2 + 0.55 * 2) * 0.5 * L =</t>
    <phoneticPr fontId="3" type="noConversion"/>
  </si>
  <si>
    <t>터파기 - (0.75 * 0.5 * L) =</t>
    <phoneticPr fontId="3" type="noConversion"/>
  </si>
  <si>
    <t>PE관 부설접합(버트융착식)</t>
    <phoneticPr fontId="3" type="noConversion"/>
  </si>
  <si>
    <t>진입로 헐기</t>
    <phoneticPr fontId="3" type="noConversion"/>
  </si>
  <si>
    <t>0.2㎥ 미만</t>
    <phoneticPr fontId="3" type="noConversion"/>
  </si>
  <si>
    <t xml:space="preserve"> 진입로 포장</t>
    <phoneticPr fontId="3" type="noConversion"/>
  </si>
  <si>
    <t>D=150</t>
    <phoneticPr fontId="3" type="noConversion"/>
  </si>
  <si>
    <t>D=250</t>
    <phoneticPr fontId="3" type="noConversion"/>
  </si>
  <si>
    <t>PE관 부설접합</t>
    <phoneticPr fontId="3" type="noConversion"/>
  </si>
  <si>
    <t>이중벽관 부설 D250</t>
    <phoneticPr fontId="3" type="noConversion"/>
  </si>
  <si>
    <t>PE관부설접합D250</t>
    <phoneticPr fontId="3" type="noConversion"/>
  </si>
  <si>
    <t>폐 기 물 처 리</t>
    <phoneticPr fontId="3" type="noConversion"/>
  </si>
  <si>
    <t>아스콘 포장</t>
    <phoneticPr fontId="3" type="noConversion"/>
  </si>
  <si>
    <t>(4.0 * 2.0 * 0.4) * n =</t>
    <phoneticPr fontId="3" type="noConversion"/>
  </si>
  <si>
    <t>맨홀설치</t>
    <phoneticPr fontId="3" type="noConversion"/>
  </si>
  <si>
    <t>1.0*1.0*1.2</t>
    <phoneticPr fontId="3" type="noConversion"/>
  </si>
  <si>
    <t>1.0*1.0*1.2*0.15</t>
    <phoneticPr fontId="3" type="noConversion"/>
  </si>
  <si>
    <t>1.1*1.1*0.6t</t>
    <phoneticPr fontId="3" type="noConversion"/>
  </si>
  <si>
    <t>○ 진입로 포장</t>
    <phoneticPr fontId="3" type="noConversion"/>
  </si>
  <si>
    <t>광암리</t>
    <phoneticPr fontId="3" type="noConversion"/>
  </si>
  <si>
    <t>분향리 830-10</t>
    <phoneticPr fontId="3" type="noConversion"/>
  </si>
  <si>
    <t>(4.0 * 9.0 * 0.2) * n =</t>
    <phoneticPr fontId="3" type="noConversion"/>
  </si>
  <si>
    <t>광시면 가덕리</t>
    <phoneticPr fontId="3" type="noConversion"/>
  </si>
  <si>
    <t>수정리</t>
    <phoneticPr fontId="3" type="noConversion"/>
  </si>
  <si>
    <t>(4.0 * 1.0 * 0.2) * n =</t>
    <phoneticPr fontId="3" type="noConversion"/>
  </si>
  <si>
    <t>단가산출</t>
  </si>
  <si>
    <t>산    출    근    거</t>
  </si>
  <si>
    <t>1.</t>
  </si>
  <si>
    <t>(</t>
  </si>
  <si>
    <t>)</t>
  </si>
  <si>
    <t>+</t>
  </si>
  <si>
    <t>-</t>
  </si>
  <si>
    <t>Q</t>
  </si>
  <si>
    <t>:</t>
  </si>
  <si>
    <t>÷</t>
  </si>
  <si>
    <t>경</t>
  </si>
  <si>
    <t>비</t>
  </si>
  <si>
    <t>소</t>
  </si>
  <si>
    <t>2.</t>
  </si>
  <si>
    <t>3.</t>
  </si>
  <si>
    <t>합</t>
  </si>
  <si>
    <t>4.</t>
  </si>
  <si>
    <t>※</t>
  </si>
  <si>
    <t>시공량</t>
  </si>
  <si>
    <t>Qd</t>
  </si>
  <si>
    <t>일</t>
  </si>
  <si>
    <t>시간당</t>
  </si>
  <si>
    <t>.</t>
  </si>
  <si>
    <t>인부소계</t>
  </si>
  <si>
    <t>나</t>
  </si>
  <si>
    <t>다</t>
  </si>
  <si>
    <t>라</t>
  </si>
  <si>
    <t>마</t>
  </si>
  <si>
    <t>물탱크</t>
  </si>
  <si>
    <t>기계경비</t>
  </si>
  <si>
    <t>경우</t>
  </si>
  <si>
    <t>1</t>
  </si>
  <si>
    <t>,</t>
  </si>
  <si>
    <t>Type</t>
  </si>
  <si>
    <t>&lt; 2024년 품셈개정. 유지보수 2-1-3 &gt;</t>
  </si>
  <si>
    <t>밀링깊이</t>
  </si>
  <si>
    <t>70</t>
  </si>
  <si>
    <t>mm</t>
  </si>
  <si>
    <t>이하</t>
  </si>
  <si>
    <t>회절삭후</t>
  </si>
  <si>
    <t>재포장하는</t>
  </si>
  <si>
    <t>기준</t>
  </si>
  <si>
    <t>시공구간이</t>
  </si>
  <si>
    <t>배치인원</t>
  </si>
  <si>
    <t>포 장 공</t>
  </si>
  <si>
    <t>팁</t>
  </si>
  <si>
    <t>날</t>
  </si>
  <si>
    <t>소모량</t>
  </si>
  <si>
    <t>㎥당</t>
  </si>
  <si>
    <t>0.69</t>
  </si>
  <si>
    <t>개소모</t>
  </si>
  <si>
    <t>mm기준시</t>
  </si>
  <si>
    <t>㎥는</t>
  </si>
  <si>
    <t>14.28</t>
  </si>
  <si>
    <t>㎡임</t>
  </si>
  <si>
    <t>팁(날)</t>
  </si>
  <si>
    <t>(노면파쇄기용)</t>
  </si>
  <si>
    <t>노면파쇄기</t>
  </si>
  <si>
    <t>(2.0m)</t>
  </si>
  <si>
    <t>로우더(타이어)+소형노면파쇄기</t>
  </si>
  <si>
    <t>(0.95㎥)</t>
  </si>
  <si>
    <t>로우더(타이어)</t>
  </si>
  <si>
    <t>(0.57㎥)</t>
  </si>
  <si>
    <t>아스팔트페이버(피니셔)</t>
  </si>
  <si>
    <t>(3.0m)</t>
  </si>
  <si>
    <t>머캐덤로울러(자주식)</t>
  </si>
  <si>
    <t>(10~12Ton)</t>
  </si>
  <si>
    <t>바</t>
  </si>
  <si>
    <t>타이어로울러(자주식)</t>
  </si>
  <si>
    <t>(8~15Ton)</t>
  </si>
  <si>
    <t>사</t>
  </si>
  <si>
    <t>탠덤로울러(자주식)</t>
  </si>
  <si>
    <t>(5~8Ton)</t>
  </si>
  <si>
    <t>아</t>
  </si>
  <si>
    <t>아스팔트디스트리뷰터</t>
  </si>
  <si>
    <t>(3800ℓ)</t>
  </si>
  <si>
    <t>자</t>
  </si>
  <si>
    <t>(16000ℓ)</t>
  </si>
  <si>
    <t>차</t>
  </si>
  <si>
    <t>평면교차로</t>
  </si>
  <si>
    <t>등으로</t>
  </si>
  <si>
    <t>인해</t>
  </si>
  <si>
    <t>단절되어</t>
  </si>
  <si>
    <t>장비의</t>
  </si>
  <si>
    <t>이동을</t>
  </si>
  <si>
    <t>위한</t>
  </si>
  <si>
    <t>운반이</t>
  </si>
  <si>
    <t>19.아스팔트 포장 절삭후 아스팔트 덧씌우기 (C-Type (1회절삭,1회포장)) [㎡]</t>
  </si>
  <si>
    <t>C</t>
  </si>
  <si>
    <t>작업위치</t>
  </si>
  <si>
    <t>발생되는</t>
  </si>
  <si>
    <t>바닥 헐기</t>
    <phoneticPr fontId="3" type="noConversion"/>
  </si>
  <si>
    <t xml:space="preserve"> 바닥 포장</t>
    <phoneticPr fontId="3" type="noConversion"/>
  </si>
  <si>
    <t>수로 퇴적물제거(무한궤도, 0.2㎥)</t>
    <phoneticPr fontId="3" type="noConversion"/>
  </si>
  <si>
    <t>퇴적물제거</t>
    <phoneticPr fontId="3" type="noConversion"/>
  </si>
  <si>
    <t>무한궤도, 0.2㎥</t>
    <phoneticPr fontId="3" type="noConversion"/>
  </si>
  <si>
    <t>수로 퇴적물제거</t>
    <phoneticPr fontId="3" type="noConversion"/>
  </si>
  <si>
    <t>굴삭기(무한궤도, 0.2㎥)</t>
    <phoneticPr fontId="3" type="noConversion"/>
  </si>
  <si>
    <t>수로 퇴적물 제거(무한궤도, 0.7㎥)</t>
    <phoneticPr fontId="3" type="noConversion"/>
  </si>
  <si>
    <r>
      <t xml:space="preserve">2025년 </t>
    </r>
    <r>
      <rPr>
        <sz val="13"/>
        <rFont val="굴림"/>
        <family val="3"/>
        <charset val="129"/>
      </rPr>
      <t xml:space="preserve">  10</t>
    </r>
    <r>
      <rPr>
        <sz val="14"/>
        <rFont val="굴림"/>
        <family val="3"/>
        <charset val="129"/>
      </rPr>
      <t>월      일 까지</t>
    </r>
    <phoneticPr fontId="3" type="noConversion"/>
  </si>
  <si>
    <t>2025년    9월      일 부터</t>
    <phoneticPr fontId="3" type="noConversion"/>
  </si>
  <si>
    <t>충청남도 청양군 일원</t>
    <phoneticPr fontId="3" type="noConversion"/>
  </si>
  <si>
    <t>○ 송수관로 누출</t>
    <phoneticPr fontId="3" type="noConversion"/>
  </si>
  <si>
    <t>터파기 - (3 * 2 * L) =</t>
    <phoneticPr fontId="3" type="noConversion"/>
  </si>
  <si>
    <t>D1,200</t>
    <phoneticPr fontId="3" type="noConversion"/>
  </si>
  <si>
    <t>D1,000</t>
    <phoneticPr fontId="3" type="noConversion"/>
  </si>
  <si>
    <t>이중벽관 부설 D1,000</t>
    <phoneticPr fontId="3" type="noConversion"/>
  </si>
  <si>
    <t>이중벽관 부설 D1,200</t>
    <phoneticPr fontId="3" type="noConversion"/>
  </si>
  <si>
    <t>PE관부설접합D1,000</t>
    <phoneticPr fontId="3" type="noConversion"/>
  </si>
  <si>
    <t>PE관부설접합D1,200</t>
    <phoneticPr fontId="3" type="noConversion"/>
  </si>
  <si>
    <t>(2.0 * 4.0 * 0.2) * n =</t>
    <phoneticPr fontId="3" type="noConversion"/>
  </si>
  <si>
    <t>금정리 344</t>
    <phoneticPr fontId="3" type="noConversion"/>
  </si>
  <si>
    <t>○ 수로관 교체</t>
    <phoneticPr fontId="3" type="noConversion"/>
  </si>
  <si>
    <t>800C</t>
    <phoneticPr fontId="3" type="noConversion"/>
  </si>
  <si>
    <t>(0.8 + 0.8 + 0.8) * n =</t>
    <phoneticPr fontId="3" type="noConversion"/>
  </si>
  <si>
    <t>신흥리 817</t>
    <phoneticPr fontId="3" type="noConversion"/>
  </si>
  <si>
    <t>D=100</t>
    <phoneticPr fontId="3" type="noConversion"/>
  </si>
  <si>
    <t>청소리 613</t>
    <phoneticPr fontId="3" type="noConversion"/>
  </si>
  <si>
    <t>○ 유공관 보수</t>
    <phoneticPr fontId="3" type="noConversion"/>
  </si>
  <si>
    <t>15.0 * (4.0 * 2) * 0.5 * L =</t>
    <phoneticPr fontId="3" type="noConversion"/>
  </si>
  <si>
    <t>왕진리 936-9</t>
    <phoneticPr fontId="3" type="noConversion"/>
  </si>
  <si>
    <t>D=50</t>
    <phoneticPr fontId="3" type="noConversion"/>
  </si>
  <si>
    <t>사점리 167</t>
    <phoneticPr fontId="3" type="noConversion"/>
  </si>
  <si>
    <t>중산리 732-1</t>
    <phoneticPr fontId="3" type="noConversion"/>
  </si>
  <si>
    <t>화양리 1041-4</t>
    <phoneticPr fontId="3" type="noConversion"/>
  </si>
  <si>
    <t>○ 농로 파손</t>
    <phoneticPr fontId="3" type="noConversion"/>
  </si>
  <si>
    <t>PE관부설접합(버트융착식, D100)</t>
    <phoneticPr fontId="3" type="noConversion"/>
  </si>
  <si>
    <t>PE관부설접합(버트융착식, D150)</t>
    <phoneticPr fontId="3" type="noConversion"/>
  </si>
  <si>
    <t>PE관부설접합(버트융착식, D200)</t>
    <phoneticPr fontId="3" type="noConversion"/>
  </si>
  <si>
    <t>PE관부설접합(버트융착식, D250)</t>
    <phoneticPr fontId="3" type="noConversion"/>
  </si>
  <si>
    <t>PE관부설및접합(버트융착식, D100)</t>
    <phoneticPr fontId="3" type="noConversion"/>
  </si>
  <si>
    <t>PE관부설및접합(버트융착식, D150)</t>
    <phoneticPr fontId="3" type="noConversion"/>
  </si>
  <si>
    <t>PE관부설및접합(버트융착식, D200)</t>
    <phoneticPr fontId="3" type="noConversion"/>
  </si>
  <si>
    <t>PE관부설및접합(버트융착식, D250)</t>
    <phoneticPr fontId="3" type="noConversion"/>
  </si>
  <si>
    <t>인력품의14%</t>
    <phoneticPr fontId="3" type="noConversion"/>
  </si>
  <si>
    <t>0.222/6</t>
    <phoneticPr fontId="3" type="noConversion"/>
  </si>
  <si>
    <t>0.111/6</t>
    <phoneticPr fontId="3" type="noConversion"/>
  </si>
  <si>
    <t>0.286/6</t>
    <phoneticPr fontId="3" type="noConversion"/>
  </si>
  <si>
    <t>0.143/6</t>
    <phoneticPr fontId="3" type="noConversion"/>
  </si>
  <si>
    <t>0.364/6</t>
    <phoneticPr fontId="3" type="noConversion"/>
  </si>
  <si>
    <t>0.182/6</t>
    <phoneticPr fontId="3" type="noConversion"/>
  </si>
  <si>
    <t>0.4/6</t>
    <phoneticPr fontId="3" type="noConversion"/>
  </si>
  <si>
    <t>0.2/6</t>
    <phoneticPr fontId="3" type="noConversion"/>
  </si>
  <si>
    <t>유공관(D150)</t>
    <phoneticPr fontId="3" type="noConversion"/>
  </si>
  <si>
    <t xml:space="preserve">n * 2 = </t>
    <phoneticPr fontId="3" type="noConversion"/>
  </si>
  <si>
    <t>1.0+1.0 / 2 * 1.0 * L =</t>
    <phoneticPr fontId="3" type="noConversion"/>
  </si>
  <si>
    <t>터파기 - (0.8 * 0.5 * L) =</t>
    <phoneticPr fontId="3" type="noConversion"/>
  </si>
  <si>
    <t>수로관 설치 및 해체</t>
    <phoneticPr fontId="3" type="noConversion"/>
  </si>
  <si>
    <t>벤치플륨관</t>
    <phoneticPr fontId="3" type="noConversion"/>
  </si>
  <si>
    <t>인력품의12%</t>
    <phoneticPr fontId="3" type="noConversion"/>
  </si>
  <si>
    <t>PE관부설및접합(버트융착식, D50)</t>
    <phoneticPr fontId="3" type="noConversion"/>
  </si>
  <si>
    <t>D50</t>
    <phoneticPr fontId="3" type="noConversion"/>
  </si>
  <si>
    <t>0.1/6</t>
    <phoneticPr fontId="3" type="noConversion"/>
  </si>
  <si>
    <t>0.05/6</t>
    <phoneticPr fontId="3" type="noConversion"/>
  </si>
  <si>
    <t>PE관부설접합(버트융착식, D50)</t>
    <phoneticPr fontId="3" type="noConversion"/>
  </si>
  <si>
    <t>2 * 2 * 0.5 * L =</t>
    <phoneticPr fontId="3" type="noConversion"/>
  </si>
  <si>
    <t>터파기 - (2 * 0.5 * L) =</t>
    <phoneticPr fontId="3" type="noConversion"/>
  </si>
  <si>
    <t>(2.0 * 0.2) * L =</t>
    <phoneticPr fontId="3" type="noConversion"/>
  </si>
  <si>
    <t xml:space="preserve">2026.  9.   </t>
    <phoneticPr fontId="3" type="noConversion"/>
  </si>
  <si>
    <t>2026년 금정용수지선 외 6개소 보수보강 공사</t>
    <phoneticPr fontId="3" type="noConversion"/>
  </si>
  <si>
    <t xml:space="preserve"> ○ 위치 : 남양면 금정리 344</t>
    <phoneticPr fontId="3" type="noConversion"/>
  </si>
  <si>
    <t xml:space="preserve"> ○ 위치 : 목면 신흥리 817</t>
    <phoneticPr fontId="3" type="noConversion"/>
  </si>
  <si>
    <t xml:space="preserve"> ○ 위치 : 청남면 왕진리 936-9</t>
    <phoneticPr fontId="3" type="noConversion"/>
  </si>
  <si>
    <t xml:space="preserve"> ○ 위치 : 비봉면 사점리 167</t>
    <phoneticPr fontId="3" type="noConversion"/>
  </si>
  <si>
    <t xml:space="preserve"> ○ 위치 : 청남면 청소리 613</t>
    <phoneticPr fontId="3" type="noConversion"/>
  </si>
  <si>
    <t xml:space="preserve"> ○ 위치 : 청남면 중산리 732-1</t>
    <phoneticPr fontId="3" type="noConversion"/>
  </si>
  <si>
    <t xml:space="preserve"> ○ 위치 : 목면 화양리 1041-4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</si>
</sst>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6">
    <numFmt numFmtId="5" formatCode="&quot;₩&quot;#,##0;\-&quot;₩&quot;#,##0"/>
    <numFmt numFmtId="7" formatCode="&quot;₩&quot;#,##0.00;\-&quot;₩&quot;#,##0.00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-* #,##0.00_-;\-* #,##0.00_-;_-* &quot;-&quot;_-;_-@_-"/>
    <numFmt numFmtId="177" formatCode="#,##0_ "/>
    <numFmt numFmtId="178" formatCode="_-* #,##0.0_-;\-* #,##0.0_-;_-* &quot;-&quot;_-;_-@_-"/>
    <numFmt numFmtId="179" formatCode="0.0"/>
    <numFmt numFmtId="180" formatCode="0.00_ "/>
    <numFmt numFmtId="181" formatCode="0_ "/>
    <numFmt numFmtId="182" formatCode="_-* #,##0.0000_-;\-* #,##0.0000_-;_-* &quot;-&quot;_-;_-@_-"/>
    <numFmt numFmtId="183" formatCode="_-* #,##0.000_-;\-* #,##0.000_-;_-* &quot;-&quot;_-;_-@_-"/>
    <numFmt numFmtId="184" formatCode="0.000"/>
    <numFmt numFmtId="185" formatCode="0.00_);[Red]\(0.00\)"/>
    <numFmt numFmtId="186" formatCode="mm&quot;월&quot;\ dd&quot;일&quot;"/>
    <numFmt numFmtId="187" formatCode="&quot;제&quot;#,###&quot;호표&quot;"/>
    <numFmt numFmtId="188" formatCode="#,##0_);[Red]\(#,##0\)"/>
    <numFmt numFmtId="189" formatCode="_ * #,##0_ ;_ * \-#,##0_ ;_ * &quot;-&quot;_ ;_ @_ "/>
    <numFmt numFmtId="190" formatCode="_ * #,##0.00_ ;_ * \-#,##0.00_ ;_ * &quot;-&quot;??_ ;_ @_ "/>
    <numFmt numFmtId="191" formatCode="0.00_)"/>
    <numFmt numFmtId="192" formatCode="&quot;L&quot;#,##0.00_);\(&quot;L&quot;#,##0.00\)"/>
    <numFmt numFmtId="193" formatCode="_(&quot;L&quot;* #,##0_);_(&quot;L&quot;* \(#,##0\);_(&quot;L&quot;* &quot;-&quot;_);_(@_)"/>
    <numFmt numFmtId="194" formatCode="#,##0;\(#,##0\)"/>
    <numFmt numFmtId="195" formatCode="#,##0.00_ "/>
    <numFmt numFmtId="196" formatCode="&quot;$&quot;#,##0"/>
    <numFmt numFmtId="197" formatCode="#,##0;[Red]\(#,##0\)"/>
    <numFmt numFmtId="198" formatCode="#,##0.0"/>
    <numFmt numFmtId="199" formatCode="mmmm\ d\,\ yyyy"/>
    <numFmt numFmtId="200" formatCode="&quot;&lt;&quot;#,##0&quot;&gt;&quot;"/>
    <numFmt numFmtId="201" formatCode="0.000%"/>
    <numFmt numFmtId="202" formatCode="&quot;$&quot;#,##0.00_);[Red]\(&quot;$&quot;#,##0.00\)"/>
    <numFmt numFmtId="203" formatCode="&quot;$&quot;#,##0.00"/>
    <numFmt numFmtId="204" formatCode="&quot;$&quot;#,##0.00;;"/>
    <numFmt numFmtId="205" formatCode=";;"/>
    <numFmt numFmtId="206" formatCode="&quot;Fr.&quot;\ #,##0;[Red]&quot;Fr.&quot;\ \-#,##0"/>
    <numFmt numFmtId="207" formatCode="&quot;Fr.&quot;\ #,##0.00;[Red]&quot;Fr.&quot;\ \-#,##0.00"/>
    <numFmt numFmtId="208" formatCode="&quot;₩&quot;#,##0.00;&quot;₩&quot;\-#,##0.00"/>
    <numFmt numFmtId="209" formatCode="#,##0;&quot;-&quot;#,##0"/>
    <numFmt numFmtId="210" formatCode="#,##0.00000;[Red]#,##0.00000"/>
    <numFmt numFmtId="211" formatCode="_ * #,##0.0_ ;_ * \-#,##0.0_ ;_ * &quot;-&quot;??_ ;_ @_ "/>
    <numFmt numFmtId="212" formatCode="mmmm\-yy"/>
    <numFmt numFmtId="213" formatCode="_-* #,##0\ &quot;DM&quot;_-;\-* #,##0\ &quot;DM&quot;_-;_-* &quot;-&quot;\ &quot;DM&quot;_-;_-@_-"/>
    <numFmt numFmtId="214" formatCode="_-* #,##0\ _D_M_-;\-* #,##0\ _D_M_-;_-* &quot;-&quot;\ _D_M_-;_-@_-"/>
    <numFmt numFmtId="215" formatCode="_-* #,##0.00\ &quot;DM&quot;_-;\-* #,##0.00\ &quot;DM&quot;_-;_-* &quot;-&quot;??\ &quot;DM&quot;_-;_-@_-"/>
    <numFmt numFmtId="216" formatCode="_-* #,##0.00\ _D_M_-;\-* #,##0.00\ _D_M_-;_-* &quot;-&quot;??\ _D_M_-;_-@_-"/>
    <numFmt numFmtId="217" formatCode="#,##0.000\ &quot;㎥ &quot;"/>
    <numFmt numFmtId="218" formatCode="#,##0.000\ &quot;EA &quot;"/>
    <numFmt numFmtId="219" formatCode="#,##0.000\ &quot;m  &quot;"/>
    <numFmt numFmtId="220" formatCode="&quot;  &quot;@"/>
    <numFmt numFmtId="221" formatCode="#,##0.000\ &quot;㎏ &quot;"/>
    <numFmt numFmtId="222" formatCode="#."/>
    <numFmt numFmtId="223" formatCode="#,##0.0000"/>
    <numFmt numFmtId="224" formatCode="mmm\.yy"/>
    <numFmt numFmtId="225" formatCode="&quot;kr&quot;\ #,##0;&quot;kr&quot;\ \-#,##0"/>
    <numFmt numFmtId="226" formatCode="&quot;₩&quot;\!\$#,##0_);[Red]&quot;₩&quot;\!\(&quot;₩&quot;\!\$#,##0&quot;₩&quot;\!\)"/>
    <numFmt numFmtId="227" formatCode="&quot;₩&quot;\!\(#,##0.000&quot;₩&quot;\!\)"/>
    <numFmt numFmtId="228" formatCode="\(#,##0.000\)"/>
    <numFmt numFmtId="229" formatCode="&quot;₩&quot;#,##0.00;\!\-&quot;₩&quot;#,##0.00"/>
    <numFmt numFmtId="230" formatCode="_-&quot;₩&quot;* #,##0.00_-;\!\-&quot;₩&quot;* #,##0.00_-;_-&quot;₩&quot;* &quot;-&quot;??_-;_-@_-"/>
    <numFmt numFmtId="231" formatCode="&quot;₩&quot;#,##0;&quot;₩&quot;\!\-&quot;₩&quot;#,##0"/>
    <numFmt numFmtId="232" formatCode="&quot;₩&quot;#,##0.00;[Red]&quot;₩&quot;\!\!\-&quot;₩&quot;#,##0.00"/>
    <numFmt numFmtId="233" formatCode="_-* #,##0_-;&quot;₩&quot;\!\!\-* #,##0_-;_-* &quot;-&quot;_-;_-@_-"/>
    <numFmt numFmtId="234" formatCode="&quot;₩&quot;#,##0;[Red]&quot;₩&quot;&quot;₩&quot;\!\!\-&quot;₩&quot;#,##0"/>
    <numFmt numFmtId="235" formatCode="&quot;₩&quot;#,##0.00;[Red]&quot;₩&quot;&quot;₩&quot;\!\!\-&quot;₩&quot;#,##0.00"/>
    <numFmt numFmtId="236" formatCode="_-* #,##0.00_-;&quot;₩&quot;&quot;₩&quot;&quot;₩&quot;\!\!\!\-* #,##0.00_-;_-* &quot;-&quot;??_-;_-@_-"/>
    <numFmt numFmtId="237" formatCode="_ * #,##0_ ;_ * &quot;₩&quot;&quot;₩&quot;\!\!\-#,##0_ ;_ * &quot;-&quot;??_ ;_ @_ "/>
    <numFmt numFmtId="238" formatCode="#,##0_ &quot;원&quot;"/>
    <numFmt numFmtId="239" formatCode="0.0_ "/>
    <numFmt numFmtId="240" formatCode="_-* #,##0_-;\-* #,##0_-;_-* &quot;-&quot;??_-;_-@_-"/>
    <numFmt numFmtId="241" formatCode="0.000_ "/>
    <numFmt numFmtId="242" formatCode="#,##0.0_ &quot;개소&quot;"/>
    <numFmt numFmtId="243" formatCode="#,##0_ ;[Red]\-#,##0\ "/>
    <numFmt numFmtId="244" formatCode="#,##0.#######"/>
    <numFmt numFmtId="245" formatCode="&quot;₩&quot;#,##0_);[Red]\(&quot;₩&quot;#,##0\)"/>
    <numFmt numFmtId="246" formatCode="_-* #,##0.0_-;\-* #,##0.0_-;_-* &quot;-&quot;?_-;_-@_-"/>
  </numFmts>
  <fonts count="139"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바탕"/>
      <family val="1"/>
      <charset val="129"/>
    </font>
    <font>
      <sz val="10"/>
      <name val="돋움"/>
      <family val="3"/>
      <charset val="129"/>
    </font>
    <font>
      <sz val="10"/>
      <name val="Arial"/>
      <family val="2"/>
    </font>
    <font>
      <b/>
      <sz val="12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14"/>
      <name val="굴림"/>
      <family val="3"/>
      <charset val="129"/>
    </font>
    <font>
      <sz val="10"/>
      <color indexed="8"/>
      <name val="굴림"/>
      <family val="3"/>
      <charset val="129"/>
    </font>
    <font>
      <sz val="11"/>
      <name val="굴림"/>
      <family val="3"/>
      <charset val="129"/>
    </font>
    <font>
      <sz val="12"/>
      <name val="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0"/>
      <name val="MS Sans Serif"/>
      <family val="2"/>
    </font>
    <font>
      <u/>
      <sz val="12"/>
      <color indexed="36"/>
      <name val="바탕체"/>
      <family val="1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7.5"/>
      <name val="돋움체"/>
      <family val="3"/>
      <charset val="129"/>
    </font>
    <font>
      <sz val="12"/>
      <name val="¹ÙÅÁÃ¼"/>
      <family val="1"/>
      <charset val="129"/>
    </font>
    <font>
      <sz val="12"/>
      <name val="¹UAAA¼"/>
      <family val="1"/>
      <charset val="129"/>
    </font>
    <font>
      <b/>
      <sz val="8"/>
      <name val="Arial"/>
      <family val="2"/>
    </font>
    <font>
      <sz val="8"/>
      <name val="¹UAAA¼"/>
      <family val="1"/>
      <charset val="129"/>
    </font>
    <font>
      <b/>
      <sz val="10"/>
      <name val="Helv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sz val="10"/>
      <name val="Times New Roman"/>
      <family val="1"/>
    </font>
    <font>
      <sz val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b/>
      <i/>
      <sz val="14"/>
      <name val="Times New Roman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9"/>
      <color indexed="9"/>
      <name val="Arial"/>
      <family val="2"/>
    </font>
    <font>
      <b/>
      <sz val="18"/>
      <name val="Arial"/>
      <family val="2"/>
    </font>
    <font>
      <b/>
      <i/>
      <sz val="12"/>
      <color indexed="16"/>
      <name val="Times New Roman"/>
      <family val="1"/>
    </font>
    <font>
      <b/>
      <sz val="11"/>
      <name val="Helv"/>
      <family val="2"/>
    </font>
    <font>
      <b/>
      <i/>
      <sz val="16"/>
      <name val="Helv"/>
      <family val="2"/>
    </font>
    <font>
      <b/>
      <i/>
      <sz val="12"/>
      <name val="Times New Roman"/>
      <family val="1"/>
    </font>
    <font>
      <b/>
      <sz val="16"/>
      <name val="Times New Roman"/>
      <family val="1"/>
    </font>
    <font>
      <b/>
      <sz val="12"/>
      <color indexed="16"/>
      <name val="Arial"/>
      <family val="2"/>
    </font>
    <font>
      <b/>
      <i/>
      <sz val="18"/>
      <color indexed="16"/>
      <name val="Times New Roman"/>
      <family val="1"/>
    </font>
    <font>
      <b/>
      <sz val="8"/>
      <color indexed="32"/>
      <name val="Arial"/>
      <family val="2"/>
    </font>
    <font>
      <sz val="8"/>
      <name val="바탕체"/>
      <family val="1"/>
      <charset val="129"/>
    </font>
    <font>
      <sz val="11"/>
      <name val="굴림체"/>
      <family val="3"/>
      <charset val="129"/>
    </font>
    <font>
      <b/>
      <sz val="12"/>
      <color indexed="8"/>
      <name val="굴림"/>
      <family val="3"/>
      <charset val="129"/>
    </font>
    <font>
      <b/>
      <u/>
      <sz val="10"/>
      <name val="굴림"/>
      <family val="3"/>
      <charset val="129"/>
    </font>
    <font>
      <sz val="12"/>
      <name val="굴림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2"/>
      <name val="Times New Roman"/>
      <family val="1"/>
    </font>
    <font>
      <sz val="1"/>
      <color indexed="0"/>
      <name val="Courier"/>
      <family val="3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2"/>
      <name val="명조"/>
      <family val="3"/>
      <charset val="129"/>
    </font>
    <font>
      <sz val="12"/>
      <name val="궁서체"/>
      <family val="1"/>
      <charset val="129"/>
    </font>
    <font>
      <sz val="11"/>
      <color indexed="20"/>
      <name val="맑은 고딕"/>
      <family val="3"/>
      <charset val="129"/>
    </font>
    <font>
      <sz val="10"/>
      <color indexed="8"/>
      <name val="Gulim"/>
      <family val="3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0"/>
      <name val="바탕체"/>
      <family val="1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0"/>
      <color indexed="10"/>
      <name val="돋움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sz val="10"/>
      <name val="Univers (WN)"/>
      <family val="2"/>
    </font>
    <font>
      <u/>
      <sz val="10"/>
      <color indexed="12"/>
      <name val="MS Sans Serif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sz val="11"/>
      <name val="새굴림"/>
      <family val="1"/>
      <charset val="129"/>
    </font>
    <font>
      <sz val="9"/>
      <name val="새굴림"/>
      <family val="1"/>
      <charset val="129"/>
    </font>
    <font>
      <sz val="10"/>
      <name val="새굴림"/>
      <family val="1"/>
      <charset val="129"/>
    </font>
    <font>
      <b/>
      <sz val="24"/>
      <name val="굴림체"/>
      <family val="3"/>
      <charset val="129"/>
    </font>
    <font>
      <sz val="16"/>
      <name val="굴림체"/>
      <family val="3"/>
      <charset val="129"/>
    </font>
    <font>
      <sz val="14"/>
      <name val="새굴림"/>
      <family val="1"/>
      <charset val="129"/>
    </font>
    <font>
      <b/>
      <sz val="11"/>
      <name val="새굴림"/>
      <family val="1"/>
      <charset val="129"/>
    </font>
    <font>
      <b/>
      <sz val="18"/>
      <name val="굴림"/>
      <family val="3"/>
      <charset val="129"/>
    </font>
    <font>
      <sz val="14"/>
      <name val="굴림체"/>
      <family val="3"/>
      <charset val="129"/>
    </font>
    <font>
      <b/>
      <u/>
      <sz val="16"/>
      <name val="새굴림"/>
      <family val="1"/>
      <charset val="129"/>
    </font>
    <font>
      <b/>
      <sz val="20"/>
      <name val="휴먼엑스포"/>
      <family val="1"/>
      <charset val="129"/>
    </font>
    <font>
      <sz val="11"/>
      <name val="휴먼엑스포"/>
      <family val="1"/>
      <charset val="129"/>
    </font>
    <font>
      <b/>
      <sz val="12"/>
      <name val="새굴림"/>
      <family val="1"/>
      <charset val="129"/>
    </font>
    <font>
      <u/>
      <sz val="10"/>
      <name val="새굴림"/>
      <family val="1"/>
      <charset val="129"/>
    </font>
    <font>
      <sz val="8"/>
      <name val="굴림체"/>
      <family val="3"/>
      <charset val="129"/>
    </font>
    <font>
      <b/>
      <sz val="24"/>
      <name val="새굴림"/>
      <family val="1"/>
      <charset val="129"/>
    </font>
    <font>
      <b/>
      <sz val="16"/>
      <name val="새굴림"/>
      <family val="1"/>
      <charset val="129"/>
    </font>
    <font>
      <sz val="11"/>
      <color indexed="10"/>
      <name val="굴림"/>
      <family val="3"/>
      <charset val="129"/>
    </font>
    <font>
      <b/>
      <sz val="2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20"/>
      <name val="굴림체"/>
      <family val="3"/>
      <charset val="129"/>
    </font>
    <font>
      <b/>
      <sz val="14"/>
      <name val="새굴림"/>
      <family val="1"/>
      <charset val="129"/>
    </font>
    <font>
      <b/>
      <sz val="22"/>
      <name val="굴림체"/>
      <family val="3"/>
      <charset val="129"/>
    </font>
    <font>
      <b/>
      <u/>
      <sz val="24"/>
      <name val="굴림체"/>
      <family val="3"/>
      <charset val="129"/>
    </font>
    <font>
      <b/>
      <sz val="26"/>
      <name val="휴먼엑스포"/>
      <family val="1"/>
      <charset val="129"/>
    </font>
    <font>
      <b/>
      <sz val="24"/>
      <name val="휴먼엑스포"/>
      <family val="1"/>
      <charset val="129"/>
    </font>
    <font>
      <sz val="16"/>
      <name val="휴먼엑스포"/>
      <family val="1"/>
      <charset val="129"/>
    </font>
    <font>
      <b/>
      <u/>
      <sz val="18"/>
      <name val="굴림체"/>
      <family val="3"/>
      <charset val="129"/>
    </font>
    <font>
      <b/>
      <u/>
      <sz val="28"/>
      <name val="휴먼엑스포"/>
      <family val="1"/>
      <charset val="129"/>
    </font>
    <font>
      <sz val="10"/>
      <color rgb="FFFF0000"/>
      <name val="굴림"/>
      <family val="3"/>
      <charset val="129"/>
    </font>
    <font>
      <b/>
      <sz val="11"/>
      <name val="굴림"/>
      <family val="3"/>
      <charset val="129"/>
    </font>
    <font>
      <sz val="14"/>
      <name val="굴림"/>
      <family val="3"/>
      <charset val="129"/>
    </font>
    <font>
      <b/>
      <sz val="10"/>
      <color rgb="FFFF0000"/>
      <name val="굴림"/>
      <family val="3"/>
      <charset val="129"/>
    </font>
    <font>
      <sz val="10"/>
      <color indexed="8"/>
      <name val="굴림체"/>
      <family val="3"/>
      <charset val="129"/>
    </font>
    <font>
      <b/>
      <sz val="12"/>
      <name val="돋움"/>
      <family val="3"/>
      <charset val="129"/>
    </font>
    <font>
      <b/>
      <u/>
      <sz val="12"/>
      <name val="굴림체"/>
      <family val="3"/>
      <charset val="129"/>
    </font>
    <font>
      <b/>
      <u/>
      <sz val="12"/>
      <name val="돋움"/>
      <family val="3"/>
      <charset val="129"/>
    </font>
    <font>
      <sz val="10"/>
      <color rgb="FFFF0000"/>
      <name val="새굴림"/>
      <family val="1"/>
      <charset val="129"/>
    </font>
    <font>
      <sz val="11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0"/>
      <color rgb="FF000000"/>
      <name val="돋움"/>
      <family val="3"/>
      <charset val="129"/>
    </font>
    <font>
      <sz val="9"/>
      <name val="굴림체"/>
      <family val="3"/>
      <charset val="129"/>
    </font>
    <font>
      <sz val="10"/>
      <color theme="1"/>
      <name val="새굴림"/>
      <family val="1"/>
      <charset val="129"/>
    </font>
    <font>
      <b/>
      <sz val="20"/>
      <name val="새굴림"/>
      <family val="1"/>
      <charset val="129"/>
    </font>
    <font>
      <b/>
      <sz val="20"/>
      <name val="Arial"/>
      <family val="2"/>
    </font>
    <font>
      <sz val="13"/>
      <name val="굴림"/>
      <family val="3"/>
      <charset val="129"/>
    </font>
    <font>
      <sz val="7"/>
      <name val="굴림체"/>
      <family val="3"/>
      <charset val="129"/>
    </font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</fonts>
  <fills count="3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5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 diagonalUp="1" diagonalDown="1"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/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574">
    <xf numFmtId="0" fontId="0" fillId="0" borderId="0"/>
    <xf numFmtId="24" fontId="16" fillId="0" borderId="0" applyFont="0" applyFill="0" applyBorder="0" applyAlignment="0" applyProtection="0"/>
    <xf numFmtId="226" fontId="16" fillId="0" borderId="0" applyFont="0" applyFill="0" applyBorder="0" applyAlignment="0" applyProtection="0"/>
    <xf numFmtId="226" fontId="16" fillId="0" borderId="0" applyFont="0" applyFill="0" applyBorder="0" applyAlignment="0" applyProtection="0"/>
    <xf numFmtId="24" fontId="16" fillId="0" borderId="0" applyFont="0" applyFill="0" applyBorder="0" applyAlignment="0" applyProtection="0"/>
    <xf numFmtId="24" fontId="16" fillId="0" borderId="0" applyFont="0" applyFill="0" applyBorder="0" applyAlignment="0" applyProtection="0"/>
    <xf numFmtId="24" fontId="16" fillId="0" borderId="0" applyFont="0" applyFill="0" applyBorder="0" applyAlignment="0" applyProtection="0"/>
    <xf numFmtId="24" fontId="16" fillId="0" borderId="0" applyFont="0" applyFill="0" applyBorder="0" applyAlignment="0" applyProtection="0"/>
    <xf numFmtId="226" fontId="16" fillId="0" borderId="0" applyFont="0" applyFill="0" applyBorder="0" applyAlignment="0" applyProtection="0"/>
    <xf numFmtId="211" fontId="54" fillId="0" borderId="0" applyNumberFormat="0" applyFont="0" applyFill="0" applyBorder="0" applyAlignment="0" applyProtection="0"/>
    <xf numFmtId="210" fontId="54" fillId="0" borderId="0" applyNumberFormat="0" applyFont="0" applyFill="0" applyBorder="0" applyAlignment="0" applyProtection="0"/>
    <xf numFmtId="211" fontId="54" fillId="0" borderId="0" applyNumberFormat="0" applyFont="0" applyFill="0" applyBorder="0" applyAlignment="0" applyProtection="0"/>
    <xf numFmtId="24" fontId="16" fillId="0" borderId="0" applyFont="0" applyFill="0" applyBorder="0" applyAlignment="0" applyProtection="0"/>
    <xf numFmtId="24" fontId="16" fillId="0" borderId="0" applyFont="0" applyFill="0" applyBorder="0" applyAlignment="0" applyProtection="0"/>
    <xf numFmtId="24" fontId="16" fillId="0" borderId="0" applyFont="0" applyFill="0" applyBorder="0" applyAlignment="0" applyProtection="0"/>
    <xf numFmtId="24" fontId="16" fillId="0" borderId="0" applyFont="0" applyFill="0" applyBorder="0" applyAlignment="0" applyProtection="0"/>
    <xf numFmtId="210" fontId="54" fillId="0" borderId="0" applyNumberFormat="0" applyFont="0" applyFill="0" applyBorder="0" applyAlignment="0" applyProtection="0"/>
    <xf numFmtId="226" fontId="16" fillId="0" borderId="0" applyFont="0" applyFill="0" applyBorder="0" applyAlignment="0" applyProtection="0"/>
    <xf numFmtId="24" fontId="16" fillId="0" borderId="0" applyFont="0" applyFill="0" applyBorder="0" applyAlignment="0" applyProtection="0"/>
    <xf numFmtId="24" fontId="16" fillId="0" borderId="0" applyFont="0" applyFill="0" applyBorder="0" applyAlignment="0" applyProtection="0"/>
    <xf numFmtId="24" fontId="16" fillId="0" borderId="0" applyFont="0" applyFill="0" applyBorder="0" applyAlignment="0" applyProtection="0"/>
    <xf numFmtId="24" fontId="16" fillId="0" borderId="0" applyFont="0" applyFill="0" applyBorder="0" applyAlignment="0" applyProtection="0"/>
    <xf numFmtId="24" fontId="16" fillId="0" borderId="0" applyFont="0" applyFill="0" applyBorder="0" applyAlignment="0" applyProtection="0"/>
    <xf numFmtId="24" fontId="16" fillId="0" borderId="0" applyFont="0" applyFill="0" applyBorder="0" applyAlignment="0" applyProtection="0"/>
    <xf numFmtId="226" fontId="16" fillId="0" borderId="0" applyFont="0" applyFill="0" applyBorder="0" applyAlignment="0" applyProtection="0"/>
    <xf numFmtId="24" fontId="16" fillId="0" borderId="0" applyFont="0" applyFill="0" applyBorder="0" applyAlignment="0" applyProtection="0"/>
    <xf numFmtId="226" fontId="16" fillId="0" borderId="0" applyFont="0" applyFill="0" applyBorder="0" applyAlignment="0" applyProtection="0"/>
    <xf numFmtId="24" fontId="16" fillId="0" borderId="0" applyFont="0" applyFill="0" applyBorder="0" applyAlignment="0" applyProtection="0"/>
    <xf numFmtId="0" fontId="13" fillId="0" borderId="0"/>
    <xf numFmtId="0" fontId="13" fillId="0" borderId="0"/>
    <xf numFmtId="0" fontId="6" fillId="0" borderId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3" fillId="0" borderId="0" applyFont="0" applyFill="0" applyBorder="0" applyAlignment="0" applyProtection="0"/>
    <xf numFmtId="0" fontId="6" fillId="0" borderId="0"/>
    <xf numFmtId="0" fontId="53" fillId="0" borderId="0" applyFont="0" applyFill="0" applyBorder="0" applyAlignment="0" applyProtection="0"/>
    <xf numFmtId="0" fontId="6" fillId="0" borderId="0"/>
    <xf numFmtId="0" fontId="6" fillId="0" borderId="0"/>
    <xf numFmtId="0" fontId="53" fillId="0" borderId="0" applyFont="0" applyFill="0" applyBorder="0" applyAlignment="0" applyProtection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/>
    <xf numFmtId="0" fontId="5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53" fillId="0" borderId="0" applyFont="0" applyFill="0" applyBorder="0" applyAlignment="0" applyProtection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53" fillId="0" borderId="0" applyFont="0" applyFill="0" applyBorder="0" applyAlignment="0" applyProtection="0"/>
    <xf numFmtId="0" fontId="6" fillId="0" borderId="0"/>
    <xf numFmtId="0" fontId="6" fillId="0" borderId="0"/>
    <xf numFmtId="0" fontId="53" fillId="0" borderId="0" applyFont="0" applyFill="0" applyBorder="0" applyAlignment="0" applyProtection="0"/>
    <xf numFmtId="0" fontId="6" fillId="0" borderId="0"/>
    <xf numFmtId="0" fontId="53" fillId="0" borderId="0" applyFont="0" applyFill="0" applyBorder="0" applyAlignment="0" applyProtection="0"/>
    <xf numFmtId="0" fontId="6" fillId="0" borderId="0"/>
    <xf numFmtId="0" fontId="53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3" fillId="0" borderId="0" applyFont="0" applyFill="0" applyBorder="0" applyAlignment="0" applyProtection="0"/>
    <xf numFmtId="0" fontId="6" fillId="0" borderId="0"/>
    <xf numFmtId="0" fontId="6" fillId="0" borderId="0"/>
    <xf numFmtId="0" fontId="5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55" fillId="0" borderId="0"/>
    <xf numFmtId="208" fontId="9" fillId="0" borderId="0">
      <protection locked="0"/>
    </xf>
    <xf numFmtId="208" fontId="9" fillId="0" borderId="0">
      <protection locked="0"/>
    </xf>
    <xf numFmtId="222" fontId="56" fillId="0" borderId="0">
      <protection locked="0"/>
    </xf>
    <xf numFmtId="222" fontId="56" fillId="0" borderId="0">
      <protection locked="0"/>
    </xf>
    <xf numFmtId="208" fontId="9" fillId="0" borderId="0">
      <protection locked="0"/>
    </xf>
    <xf numFmtId="222" fontId="56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22" fontId="56" fillId="0" borderId="0">
      <protection locked="0"/>
    </xf>
    <xf numFmtId="222" fontId="56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0" fontId="13" fillId="0" borderId="1">
      <alignment horizontal="center"/>
    </xf>
    <xf numFmtId="0" fontId="57" fillId="2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9" fontId="13" fillId="0" borderId="0">
      <protection locked="0"/>
    </xf>
    <xf numFmtId="0" fontId="58" fillId="12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208" fontId="9" fillId="0" borderId="0">
      <protection locked="0"/>
    </xf>
    <xf numFmtId="208" fontId="9" fillId="0" borderId="0">
      <protection locked="0"/>
    </xf>
    <xf numFmtId="222" fontId="56" fillId="0" borderId="0">
      <protection locked="0"/>
    </xf>
    <xf numFmtId="222" fontId="56" fillId="0" borderId="0">
      <protection locked="0"/>
    </xf>
    <xf numFmtId="208" fontId="9" fillId="0" borderId="0">
      <protection locked="0"/>
    </xf>
    <xf numFmtId="222" fontId="56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22" fontId="56" fillId="0" borderId="0">
      <protection locked="0"/>
    </xf>
    <xf numFmtId="222" fontId="56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22" fontId="56" fillId="0" borderId="0">
      <protection locked="0"/>
    </xf>
    <xf numFmtId="222" fontId="56" fillId="0" borderId="0">
      <protection locked="0"/>
    </xf>
    <xf numFmtId="208" fontId="9" fillId="0" borderId="0">
      <protection locked="0"/>
    </xf>
    <xf numFmtId="222" fontId="56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22" fontId="56" fillId="0" borderId="0">
      <protection locked="0"/>
    </xf>
    <xf numFmtId="222" fontId="56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0" fontId="22" fillId="0" borderId="0" applyFont="0" applyFill="0" applyBorder="0" applyAlignment="0" applyProtection="0"/>
    <xf numFmtId="184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201" fontId="23" fillId="0" borderId="0" applyFont="0" applyFill="0" applyBorder="0" applyAlignment="0" applyProtection="0"/>
    <xf numFmtId="0" fontId="16" fillId="0" borderId="0"/>
    <xf numFmtId="208" fontId="9" fillId="0" borderId="0">
      <protection locked="0"/>
    </xf>
    <xf numFmtId="208" fontId="9" fillId="0" borderId="0">
      <protection locked="0"/>
    </xf>
    <xf numFmtId="222" fontId="56" fillId="0" borderId="0">
      <protection locked="0"/>
    </xf>
    <xf numFmtId="222" fontId="56" fillId="0" borderId="0">
      <protection locked="0"/>
    </xf>
    <xf numFmtId="208" fontId="9" fillId="0" borderId="0">
      <protection locked="0"/>
    </xf>
    <xf numFmtId="222" fontId="56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22" fontId="56" fillId="0" borderId="0">
      <protection locked="0"/>
    </xf>
    <xf numFmtId="222" fontId="56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22" fontId="56" fillId="0" borderId="0">
      <protection locked="0"/>
    </xf>
    <xf numFmtId="222" fontId="56" fillId="0" borderId="0">
      <protection locked="0"/>
    </xf>
    <xf numFmtId="208" fontId="9" fillId="0" borderId="0">
      <protection locked="0"/>
    </xf>
    <xf numFmtId="222" fontId="56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22" fontId="56" fillId="0" borderId="0">
      <protection locked="0"/>
    </xf>
    <xf numFmtId="222" fontId="56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0" fontId="2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6" fillId="16" borderId="0" applyBorder="0" applyAlignment="0" applyProtection="0"/>
    <xf numFmtId="49" fontId="24" fillId="17" borderId="0" applyBorder="0">
      <alignment horizontal="right"/>
    </xf>
    <xf numFmtId="208" fontId="9" fillId="0" borderId="0">
      <protection locked="0"/>
    </xf>
    <xf numFmtId="208" fontId="9" fillId="0" borderId="0">
      <protection locked="0"/>
    </xf>
    <xf numFmtId="222" fontId="56" fillId="0" borderId="0">
      <protection locked="0"/>
    </xf>
    <xf numFmtId="222" fontId="56" fillId="0" borderId="0">
      <protection locked="0"/>
    </xf>
    <xf numFmtId="208" fontId="9" fillId="0" borderId="0">
      <protection locked="0"/>
    </xf>
    <xf numFmtId="222" fontId="56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22" fontId="56" fillId="0" borderId="0">
      <protection locked="0"/>
    </xf>
    <xf numFmtId="222" fontId="56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0" fontId="25" fillId="0" borderId="0"/>
    <xf numFmtId="0" fontId="22" fillId="0" borderId="0"/>
    <xf numFmtId="0" fontId="2" fillId="0" borderId="0" applyFill="0" applyBorder="0" applyAlignment="0"/>
    <xf numFmtId="0" fontId="26" fillId="0" borderId="0"/>
    <xf numFmtId="0" fontId="24" fillId="18" borderId="2">
      <alignment horizontal="center"/>
    </xf>
    <xf numFmtId="0" fontId="28" fillId="19" borderId="3" applyNumberFormat="0" applyBorder="0" applyAlignment="0">
      <alignment horizontal="left" wrapText="1"/>
    </xf>
    <xf numFmtId="198" fontId="6" fillId="0" borderId="0" applyFill="0" applyBorder="0" applyAlignment="0" applyProtection="0"/>
    <xf numFmtId="189" fontId="6" fillId="0" borderId="0" applyFont="0" applyFill="0" applyBorder="0" applyAlignment="0" applyProtection="0"/>
    <xf numFmtId="194" fontId="29" fillId="0" borderId="0"/>
    <xf numFmtId="190" fontId="6" fillId="0" borderId="0" applyFont="0" applyFill="0" applyBorder="0" applyAlignment="0" applyProtection="0"/>
    <xf numFmtId="3" fontId="6" fillId="0" borderId="0" applyFill="0" applyBorder="0" applyAlignment="0" applyProtection="0"/>
    <xf numFmtId="0" fontId="30" fillId="17" borderId="0"/>
    <xf numFmtId="0" fontId="31" fillId="17" borderId="0" applyNumberFormat="0" applyFill="0" applyBorder="0"/>
    <xf numFmtId="0" fontId="32" fillId="17" borderId="0" applyNumberFormat="0" applyFill="0" applyBorder="0"/>
    <xf numFmtId="0" fontId="33" fillId="17" borderId="0" applyNumberFormat="0" applyFill="0" applyBorder="0"/>
    <xf numFmtId="0" fontId="80" fillId="0" borderId="0" applyNumberFormat="0" applyAlignment="0">
      <alignment horizontal="left"/>
    </xf>
    <xf numFmtId="0" fontId="34" fillId="18" borderId="4" applyFont="0" applyBorder="0">
      <alignment horizontal="centerContinuous" vertical="center"/>
    </xf>
    <xf numFmtId="202" fontId="35" fillId="17" borderId="5" applyBorder="0"/>
    <xf numFmtId="0" fontId="53" fillId="0" borderId="0" applyFont="0" applyFill="0" applyBorder="0" applyAlignment="0" applyProtection="0"/>
    <xf numFmtId="0" fontId="6" fillId="0" borderId="0" applyFont="0" applyFill="0" applyBorder="0" applyAlignment="0" applyProtection="0"/>
    <xf numFmtId="7" fontId="6" fillId="0" borderId="0" applyFill="0" applyBorder="0" applyAlignment="0" applyProtection="0"/>
    <xf numFmtId="196" fontId="13" fillId="0" borderId="0" applyFont="0" applyFill="0" applyBorder="0" applyAlignment="0" applyProtection="0"/>
    <xf numFmtId="197" fontId="2" fillId="0" borderId="0" applyFont="0" applyFill="0" applyBorder="0" applyAlignment="0" applyProtection="0"/>
    <xf numFmtId="5" fontId="6" fillId="0" borderId="0" applyFill="0" applyBorder="0" applyAlignment="0" applyProtection="0"/>
    <xf numFmtId="192" fontId="2" fillId="0" borderId="0"/>
    <xf numFmtId="0" fontId="6" fillId="0" borderId="0"/>
    <xf numFmtId="199" fontId="6" fillId="0" borderId="0" applyFill="0" applyBorder="0" applyAlignment="0" applyProtection="0"/>
    <xf numFmtId="214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0" fontId="6" fillId="20" borderId="6" applyBorder="0"/>
    <xf numFmtId="204" fontId="6" fillId="20" borderId="7" applyBorder="0">
      <alignment horizontal="center"/>
    </xf>
    <xf numFmtId="193" fontId="2" fillId="0" borderId="0"/>
    <xf numFmtId="218" fontId="69" fillId="0" borderId="2">
      <alignment vertical="center"/>
    </xf>
    <xf numFmtId="0" fontId="81" fillId="0" borderId="0" applyNumberFormat="0" applyAlignment="0">
      <alignment horizontal="left"/>
    </xf>
    <xf numFmtId="205" fontId="15" fillId="0" borderId="0">
      <protection locked="0"/>
    </xf>
    <xf numFmtId="205" fontId="15" fillId="0" borderId="0">
      <protection locked="0"/>
    </xf>
    <xf numFmtId="205" fontId="15" fillId="0" borderId="0">
      <protection locked="0"/>
    </xf>
    <xf numFmtId="205" fontId="15" fillId="0" borderId="0">
      <protection locked="0"/>
    </xf>
    <xf numFmtId="205" fontId="15" fillId="0" borderId="0">
      <protection locked="0"/>
    </xf>
    <xf numFmtId="205" fontId="15" fillId="0" borderId="0">
      <protection locked="0"/>
    </xf>
    <xf numFmtId="205" fontId="15" fillId="0" borderId="0">
      <protection locked="0"/>
    </xf>
    <xf numFmtId="0" fontId="35" fillId="17" borderId="0"/>
    <xf numFmtId="2" fontId="6" fillId="0" borderId="0" applyFill="0" applyBorder="0" applyAlignment="0" applyProtection="0"/>
    <xf numFmtId="38" fontId="35" fillId="16" borderId="0" applyNumberFormat="0" applyBorder="0" applyAlignment="0" applyProtection="0"/>
    <xf numFmtId="0" fontId="36" fillId="0" borderId="0">
      <alignment horizontal="left"/>
    </xf>
    <xf numFmtId="0" fontId="37" fillId="0" borderId="8" applyNumberFormat="0" applyAlignment="0" applyProtection="0">
      <alignment horizontal="left" vertical="center"/>
    </xf>
    <xf numFmtId="0" fontId="37" fillId="0" borderId="9">
      <alignment horizontal="left" vertical="center"/>
    </xf>
    <xf numFmtId="0" fontId="38" fillId="21" borderId="10" applyBorder="0" applyAlignment="0"/>
    <xf numFmtId="0" fontId="39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40" fillId="17" borderId="0" applyNumberFormat="0" applyFill="0" applyBorder="0"/>
    <xf numFmtId="195" fontId="2" fillId="0" borderId="0">
      <protection locked="0"/>
    </xf>
    <xf numFmtId="195" fontId="2" fillId="0" borderId="0">
      <protection locked="0"/>
    </xf>
    <xf numFmtId="12" fontId="6" fillId="16" borderId="11" applyNumberFormat="0" applyBorder="0" applyAlignment="0" applyProtection="0">
      <alignment horizontal="center"/>
    </xf>
    <xf numFmtId="0" fontId="82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6" fillId="22" borderId="12" applyBorder="0">
      <protection locked="0"/>
    </xf>
    <xf numFmtId="10" fontId="35" fillId="16" borderId="2" applyNumberFormat="0" applyBorder="0" applyAlignment="0" applyProtection="0"/>
    <xf numFmtId="204" fontId="6" fillId="22" borderId="13" applyBorder="0">
      <alignment horizontal="center"/>
      <protection locked="0"/>
    </xf>
    <xf numFmtId="12" fontId="6" fillId="22" borderId="13" applyBorder="0">
      <alignment horizontal="center"/>
      <protection locked="0"/>
    </xf>
    <xf numFmtId="0" fontId="27" fillId="22" borderId="14">
      <alignment horizontal="center" vertical="center"/>
      <protection locked="0"/>
    </xf>
    <xf numFmtId="202" fontId="35" fillId="20" borderId="0" applyBorder="0">
      <protection locked="0"/>
    </xf>
    <xf numFmtId="15" fontId="35" fillId="20" borderId="0" applyBorder="0">
      <protection locked="0"/>
    </xf>
    <xf numFmtId="49" fontId="35" fillId="20" borderId="0" applyBorder="0">
      <protection locked="0"/>
    </xf>
    <xf numFmtId="49" fontId="35" fillId="20" borderId="15" applyNumberFormat="0" applyBorder="0"/>
    <xf numFmtId="0" fontId="30" fillId="20" borderId="13" applyBorder="0">
      <alignment horizontal="left"/>
    </xf>
    <xf numFmtId="0" fontId="30" fillId="22" borderId="0">
      <alignment horizontal="left"/>
    </xf>
    <xf numFmtId="221" fontId="69" fillId="0" borderId="2">
      <alignment vertical="center"/>
    </xf>
    <xf numFmtId="219" fontId="69" fillId="0" borderId="2">
      <alignment horizontal="right" vertical="center"/>
    </xf>
    <xf numFmtId="217" fontId="69" fillId="0" borderId="2">
      <alignment vertical="center"/>
    </xf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41" fillId="0" borderId="16"/>
    <xf numFmtId="206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37" fontId="84" fillId="0" borderId="0"/>
    <xf numFmtId="0" fontId="6" fillId="0" borderId="0" applyNumberFormat="0" applyFill="0" applyBorder="0" applyAlignment="0" applyProtection="0"/>
    <xf numFmtId="191" fontId="42" fillId="0" borderId="0"/>
    <xf numFmtId="0" fontId="6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03" fontId="27" fillId="20" borderId="14">
      <alignment horizontal="center"/>
    </xf>
    <xf numFmtId="0" fontId="6" fillId="17" borderId="13" applyBorder="0">
      <alignment horizontal="center"/>
      <protection locked="0"/>
    </xf>
    <xf numFmtId="10" fontId="6" fillId="0" borderId="0" applyFill="0" applyBorder="0" applyAlignment="0" applyProtection="0"/>
    <xf numFmtId="10" fontId="6" fillId="0" borderId="0" applyFont="0" applyFill="0" applyBorder="0" applyAlignment="0" applyProtection="0"/>
    <xf numFmtId="195" fontId="2" fillId="0" borderId="0">
      <protection locked="0"/>
    </xf>
    <xf numFmtId="0" fontId="43" fillId="17" borderId="0"/>
    <xf numFmtId="0" fontId="29" fillId="0" borderId="0"/>
    <xf numFmtId="0" fontId="44" fillId="17" borderId="0"/>
    <xf numFmtId="203" fontId="6" fillId="0" borderId="0"/>
    <xf numFmtId="30" fontId="85" fillId="0" borderId="0" applyNumberFormat="0" applyFill="0" applyBorder="0" applyAlignment="0" applyProtection="0">
      <alignment horizontal="left"/>
    </xf>
    <xf numFmtId="49" fontId="45" fillId="17" borderId="0" applyBorder="0">
      <alignment horizontal="centerContinuous"/>
    </xf>
    <xf numFmtId="0" fontId="6" fillId="0" borderId="0"/>
    <xf numFmtId="0" fontId="41" fillId="0" borderId="0"/>
    <xf numFmtId="0" fontId="46" fillId="17" borderId="0" applyProtection="0">
      <alignment horizontal="centerContinuous" vertical="center"/>
      <protection hidden="1"/>
    </xf>
    <xf numFmtId="40" fontId="86" fillId="0" borderId="0" applyBorder="0">
      <alignment horizontal="right"/>
    </xf>
    <xf numFmtId="0" fontId="6" fillId="17" borderId="13" applyBorder="0">
      <alignment horizontal="center"/>
    </xf>
    <xf numFmtId="0" fontId="6" fillId="17" borderId="13" applyBorder="0">
      <alignment horizontal="center"/>
    </xf>
    <xf numFmtId="0" fontId="87" fillId="17" borderId="0">
      <alignment horizontal="centerContinuous"/>
    </xf>
    <xf numFmtId="0" fontId="6" fillId="0" borderId="17" applyNumberFormat="0" applyFill="0" applyAlignment="0" applyProtection="0"/>
    <xf numFmtId="202" fontId="24" fillId="17" borderId="0"/>
    <xf numFmtId="49" fontId="47" fillId="17" borderId="0" applyBorder="0">
      <alignment horizontal="right"/>
    </xf>
    <xf numFmtId="0" fontId="48" fillId="0" borderId="1">
      <alignment horizontal="left"/>
    </xf>
    <xf numFmtId="213" fontId="6" fillId="0" borderId="0" applyFont="0" applyFill="0" applyBorder="0" applyAlignment="0" applyProtection="0"/>
    <xf numFmtId="215" fontId="6" fillId="0" borderId="0" applyFont="0" applyFill="0" applyBorder="0" applyAlignment="0" applyProtection="0"/>
    <xf numFmtId="0" fontId="58" fillId="23" borderId="0" applyNumberFormat="0" applyBorder="0" applyAlignment="0" applyProtection="0">
      <alignment vertical="center"/>
    </xf>
    <xf numFmtId="0" fontId="58" fillId="24" borderId="0" applyNumberFormat="0" applyBorder="0" applyAlignment="0" applyProtection="0">
      <alignment vertical="center"/>
    </xf>
    <xf numFmtId="0" fontId="58" fillId="25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27" borderId="18" applyNumberFormat="0" applyAlignment="0" applyProtection="0">
      <alignment vertical="center"/>
    </xf>
    <xf numFmtId="0" fontId="13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61" fillId="0" borderId="0"/>
    <xf numFmtId="224" fontId="2" fillId="0" borderId="0"/>
    <xf numFmtId="224" fontId="2" fillId="0" borderId="0"/>
    <xf numFmtId="224" fontId="2" fillId="0" borderId="0"/>
    <xf numFmtId="224" fontId="2" fillId="0" borderId="0"/>
    <xf numFmtId="224" fontId="2" fillId="0" borderId="0"/>
    <xf numFmtId="224" fontId="2" fillId="0" borderId="0"/>
    <xf numFmtId="224" fontId="2" fillId="0" borderId="0"/>
    <xf numFmtId="224" fontId="2" fillId="0" borderId="0"/>
    <xf numFmtId="224" fontId="2" fillId="0" borderId="0"/>
    <xf numFmtId="224" fontId="2" fillId="0" borderId="0"/>
    <xf numFmtId="224" fontId="2" fillId="0" borderId="0"/>
    <xf numFmtId="0" fontId="62" fillId="0" borderId="19">
      <alignment horizontal="center" vertical="center"/>
    </xf>
    <xf numFmtId="9" fontId="52" fillId="0" borderId="0" applyNumberFormat="0" applyFill="0" applyBorder="0" applyAlignment="0" applyProtection="0"/>
    <xf numFmtId="0" fontId="63" fillId="3" borderId="0" applyNumberFormat="0" applyBorder="0" applyAlignment="0" applyProtection="0">
      <alignment vertical="center"/>
    </xf>
    <xf numFmtId="0" fontId="15" fillId="0" borderId="0">
      <protection locked="0"/>
    </xf>
    <xf numFmtId="3" fontId="16" fillId="0" borderId="20">
      <alignment horizontal="center"/>
    </xf>
    <xf numFmtId="3" fontId="3" fillId="0" borderId="21" applyNumberFormat="0" applyFill="0" applyBorder="0" applyProtection="0">
      <alignment horizontal="center" vertical="center"/>
    </xf>
    <xf numFmtId="0" fontId="15" fillId="0" borderId="0"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40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64" fillId="28" borderId="12" applyNumberFormat="0" applyFont="0" applyAlignment="0" applyProtection="0">
      <alignment vertic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19" fillId="0" borderId="0"/>
    <xf numFmtId="177" fontId="4" fillId="0" borderId="19">
      <alignment vertical="center"/>
    </xf>
    <xf numFmtId="0" fontId="66" fillId="0" borderId="0" applyNumberFormat="0" applyFill="0" applyBorder="0" applyAlignment="0" applyProtection="0">
      <alignment vertical="center"/>
    </xf>
    <xf numFmtId="0" fontId="67" fillId="30" borderId="22" applyNumberFormat="0" applyAlignment="0" applyProtection="0">
      <alignment vertical="center"/>
    </xf>
    <xf numFmtId="0" fontId="5" fillId="0" borderId="0"/>
    <xf numFmtId="3" fontId="13" fillId="0" borderId="0" applyFont="0" applyFill="0" applyBorder="0" applyAlignment="0" applyProtection="0"/>
    <xf numFmtId="0" fontId="13" fillId="0" borderId="0">
      <alignment vertical="center"/>
    </xf>
    <xf numFmtId="41" fontId="2" fillId="0" borderId="0" applyFont="0" applyFill="0" applyBorder="0" applyAlignment="0" applyProtection="0"/>
    <xf numFmtId="189" fontId="49" fillId="0" borderId="0" applyFont="0" applyFill="0" applyBorder="0" applyAlignment="0" applyProtection="0"/>
    <xf numFmtId="41" fontId="2" fillId="0" borderId="0" applyFont="0" applyFill="0" applyBorder="0" applyAlignment="0" applyProtection="0"/>
    <xf numFmtId="189" fontId="13" fillId="0" borderId="0" applyNumberFormat="0" applyFont="0" applyFill="0" applyBorder="0" applyAlignment="0" applyProtection="0"/>
    <xf numFmtId="189" fontId="13" fillId="0" borderId="0" applyNumberFormat="0" applyFont="0" applyFill="0" applyBorder="0" applyAlignment="0" applyProtection="0"/>
    <xf numFmtId="41" fontId="2" fillId="0" borderId="0" applyFont="0" applyFill="0" applyBorder="0" applyAlignment="0" applyProtection="0"/>
    <xf numFmtId="189" fontId="13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6" fillId="0" borderId="0"/>
    <xf numFmtId="0" fontId="20" fillId="0" borderId="23"/>
    <xf numFmtId="0" fontId="68" fillId="0" borderId="24" applyNumberFormat="0" applyFill="0" applyAlignment="0" applyProtection="0">
      <alignment vertical="center"/>
    </xf>
    <xf numFmtId="220" fontId="69" fillId="0" borderId="2" applyBorder="0">
      <alignment vertical="center"/>
    </xf>
    <xf numFmtId="0" fontId="70" fillId="0" borderId="25" applyNumberFormat="0" applyFill="0" applyAlignment="0" applyProtection="0">
      <alignment vertical="center"/>
    </xf>
    <xf numFmtId="209" fontId="71" fillId="0" borderId="0" applyFont="0" applyFill="0" applyBorder="0" applyAlignment="0" applyProtection="0"/>
    <xf numFmtId="227" fontId="13" fillId="0" borderId="0" applyFont="0" applyFill="0" applyBorder="0" applyAlignment="0" applyProtection="0"/>
    <xf numFmtId="227" fontId="13" fillId="0" borderId="0" applyFont="0" applyFill="0" applyBorder="0" applyAlignment="0" applyProtection="0"/>
    <xf numFmtId="228" fontId="13" fillId="0" borderId="0" applyFont="0" applyFill="0" applyBorder="0" applyAlignment="0" applyProtection="0"/>
    <xf numFmtId="228" fontId="13" fillId="0" borderId="0" applyFont="0" applyFill="0" applyBorder="0" applyAlignment="0" applyProtection="0"/>
    <xf numFmtId="228" fontId="13" fillId="0" borderId="0" applyFont="0" applyFill="0" applyBorder="0" applyAlignment="0" applyProtection="0"/>
    <xf numFmtId="228" fontId="13" fillId="0" borderId="0" applyFont="0" applyFill="0" applyBorder="0" applyAlignment="0" applyProtection="0"/>
    <xf numFmtId="227" fontId="13" fillId="0" borderId="0" applyFont="0" applyFill="0" applyBorder="0" applyAlignment="0" applyProtection="0"/>
    <xf numFmtId="212" fontId="2" fillId="0" borderId="0" applyFont="0" applyFill="0" applyBorder="0" applyAlignment="0" applyProtection="0"/>
    <xf numFmtId="209" fontId="71" fillId="0" borderId="0" applyFont="0" applyFill="0" applyBorder="0" applyAlignment="0" applyProtection="0"/>
    <xf numFmtId="228" fontId="13" fillId="0" borderId="0" applyFont="0" applyFill="0" applyBorder="0" applyAlignment="0" applyProtection="0"/>
    <xf numFmtId="228" fontId="13" fillId="0" borderId="0" applyFont="0" applyFill="0" applyBorder="0" applyAlignment="0" applyProtection="0"/>
    <xf numFmtId="237" fontId="5" fillId="0" borderId="0" applyFont="0" applyFill="0" applyBorder="0" applyAlignment="0" applyProtection="0"/>
    <xf numFmtId="225" fontId="49" fillId="0" borderId="0" applyFont="0" applyFill="0" applyBorder="0" applyAlignment="0" applyProtection="0"/>
    <xf numFmtId="227" fontId="13" fillId="0" borderId="0" applyFont="0" applyFill="0" applyBorder="0" applyAlignment="0" applyProtection="0"/>
    <xf numFmtId="228" fontId="13" fillId="0" borderId="0" applyFont="0" applyFill="0" applyBorder="0" applyAlignment="0" applyProtection="0"/>
    <xf numFmtId="212" fontId="2" fillId="0" borderId="0" applyFont="0" applyFill="0" applyBorder="0" applyAlignment="0" applyProtection="0"/>
    <xf numFmtId="212" fontId="2" fillId="0" borderId="0" applyFont="0" applyFill="0" applyBorder="0" applyAlignment="0" applyProtection="0"/>
    <xf numFmtId="229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12" fontId="2" fillId="0" borderId="0" applyFont="0" applyFill="0" applyBorder="0" applyAlignment="0" applyProtection="0"/>
    <xf numFmtId="236" fontId="5" fillId="0" borderId="0" applyFont="0" applyFill="0" applyBorder="0" applyAlignment="0" applyProtection="0"/>
    <xf numFmtId="228" fontId="13" fillId="0" borderId="0" applyFont="0" applyFill="0" applyBorder="0" applyAlignment="0" applyProtection="0"/>
    <xf numFmtId="228" fontId="13" fillId="0" borderId="0" applyFont="0" applyFill="0" applyBorder="0" applyAlignment="0" applyProtection="0"/>
    <xf numFmtId="231" fontId="5" fillId="0" borderId="0" applyFont="0" applyFill="0" applyBorder="0" applyAlignment="0" applyProtection="0"/>
    <xf numFmtId="235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33" fontId="5" fillId="0" borderId="0" applyFont="0" applyFill="0" applyBorder="0" applyAlignment="0" applyProtection="0"/>
    <xf numFmtId="228" fontId="13" fillId="0" borderId="0" applyFont="0" applyFill="0" applyBorder="0" applyAlignment="0" applyProtection="0"/>
    <xf numFmtId="228" fontId="13" fillId="0" borderId="0" applyFont="0" applyFill="0" applyBorder="0" applyAlignment="0" applyProtection="0"/>
    <xf numFmtId="225" fontId="49" fillId="0" borderId="0" applyFont="0" applyFill="0" applyBorder="0" applyAlignment="0" applyProtection="0"/>
    <xf numFmtId="223" fontId="5" fillId="0" borderId="0" applyFont="0" applyFill="0" applyBorder="0" applyAlignment="0" applyProtection="0"/>
    <xf numFmtId="228" fontId="13" fillId="0" borderId="0" applyFont="0" applyFill="0" applyBorder="0" applyAlignment="0" applyProtection="0"/>
    <xf numFmtId="227" fontId="13" fillId="0" borderId="0" applyFont="0" applyFill="0" applyBorder="0" applyAlignment="0" applyProtection="0"/>
    <xf numFmtId="212" fontId="2" fillId="0" borderId="0" applyFont="0" applyFill="0" applyBorder="0" applyAlignment="0" applyProtection="0"/>
    <xf numFmtId="228" fontId="13" fillId="0" borderId="0" applyFont="0" applyFill="0" applyBorder="0" applyAlignment="0" applyProtection="0"/>
    <xf numFmtId="212" fontId="2" fillId="0" borderId="0" applyFont="0" applyFill="0" applyBorder="0" applyAlignment="0" applyProtection="0"/>
    <xf numFmtId="227" fontId="13" fillId="0" borderId="0" applyFont="0" applyFill="0" applyBorder="0" applyAlignment="0" applyProtection="0"/>
    <xf numFmtId="237" fontId="5" fillId="0" borderId="0" applyFont="0" applyFill="0" applyBorder="0" applyAlignment="0" applyProtection="0"/>
    <xf numFmtId="228" fontId="13" fillId="0" borderId="0" applyFont="0" applyFill="0" applyBorder="0" applyAlignment="0" applyProtection="0"/>
    <xf numFmtId="176" fontId="72" fillId="0" borderId="19" applyNumberFormat="0" applyFont="0" applyFill="0" applyAlignment="0" applyProtection="0">
      <alignment horizontal="center" vertical="center"/>
    </xf>
    <xf numFmtId="49" fontId="49" fillId="0" borderId="26" applyNumberFormat="0" applyAlignment="0"/>
    <xf numFmtId="0" fontId="73" fillId="7" borderId="18" applyNumberFormat="0" applyAlignment="0" applyProtection="0">
      <alignment vertical="center"/>
    </xf>
    <xf numFmtId="4" fontId="15" fillId="0" borderId="0">
      <protection locked="0"/>
    </xf>
    <xf numFmtId="0" fontId="13" fillId="0" borderId="0">
      <protection locked="0"/>
    </xf>
    <xf numFmtId="0" fontId="74" fillId="0" borderId="0" applyNumberFormat="0" applyFill="0" applyBorder="0" applyAlignment="0" applyProtection="0">
      <alignment vertical="center"/>
    </xf>
    <xf numFmtId="0" fontId="75" fillId="0" borderId="27" applyNumberFormat="0" applyFill="0" applyAlignment="0" applyProtection="0">
      <alignment vertical="center"/>
    </xf>
    <xf numFmtId="0" fontId="76" fillId="0" borderId="28" applyNumberFormat="0" applyFill="0" applyAlignment="0" applyProtection="0">
      <alignment vertical="center"/>
    </xf>
    <xf numFmtId="0" fontId="77" fillId="0" borderId="29" applyNumberFormat="0" applyFill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13" fillId="0" borderId="0"/>
    <xf numFmtId="0" fontId="79" fillId="27" borderId="30" applyNumberFormat="0" applyAlignment="0" applyProtection="0">
      <alignment vertical="center"/>
    </xf>
    <xf numFmtId="41" fontId="2" fillId="0" borderId="0" applyFont="0" applyFill="0" applyBorder="0" applyAlignment="0" applyProtection="0"/>
    <xf numFmtId="0" fontId="6" fillId="0" borderId="2"/>
    <xf numFmtId="200" fontId="21" fillId="0" borderId="31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>
      <protection locked="0"/>
    </xf>
    <xf numFmtId="0" fontId="49" fillId="0" borderId="0"/>
    <xf numFmtId="0" fontId="13" fillId="0" borderId="0"/>
    <xf numFmtId="0" fontId="6" fillId="0" borderId="0"/>
    <xf numFmtId="0" fontId="2" fillId="0" borderId="0"/>
    <xf numFmtId="0" fontId="13" fillId="0" borderId="0"/>
    <xf numFmtId="0" fontId="107" fillId="0" borderId="0">
      <alignment vertical="center"/>
    </xf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13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9" fillId="0" borderId="0"/>
    <xf numFmtId="0" fontId="2" fillId="0" borderId="0"/>
    <xf numFmtId="0" fontId="13" fillId="0" borderId="19">
      <alignment vertical="center" wrapText="1"/>
    </xf>
    <xf numFmtId="0" fontId="15" fillId="0" borderId="17">
      <protection locked="0"/>
    </xf>
    <xf numFmtId="0" fontId="13" fillId="0" borderId="0">
      <protection locked="0"/>
    </xf>
    <xf numFmtId="0" fontId="13" fillId="0" borderId="0">
      <protection locked="0"/>
    </xf>
    <xf numFmtId="41" fontId="126" fillId="0" borderId="0"/>
    <xf numFmtId="0" fontId="2" fillId="0" borderId="0"/>
    <xf numFmtId="0" fontId="2" fillId="0" borderId="0"/>
    <xf numFmtId="0" fontId="2" fillId="0" borderId="0"/>
    <xf numFmtId="0" fontId="135" fillId="0" borderId="0"/>
    <xf numFmtId="0" fontId="107" fillId="0" borderId="0">
      <alignment vertical="center"/>
    </xf>
    <xf numFmtId="41" fontId="107" fillId="0" borderId="0" applyFont="0" applyFill="0" applyBorder="0" applyAlignment="0" applyProtection="0">
      <alignment vertical="center"/>
    </xf>
    <xf numFmtId="0" fontId="79" fillId="27" borderId="155" applyNumberFormat="0" applyAlignment="0" applyProtection="0">
      <alignment vertical="center"/>
    </xf>
    <xf numFmtId="0" fontId="73" fillId="7" borderId="153" applyNumberFormat="0" applyAlignment="0" applyProtection="0">
      <alignment vertical="center"/>
    </xf>
    <xf numFmtId="49" fontId="49" fillId="0" borderId="145" applyNumberFormat="0" applyAlignment="0"/>
    <xf numFmtId="0" fontId="70" fillId="0" borderId="154" applyNumberFormat="0" applyFill="0" applyAlignment="0" applyProtection="0">
      <alignment vertical="center"/>
    </xf>
    <xf numFmtId="0" fontId="64" fillId="28" borderId="151" applyNumberFormat="0" applyFont="0" applyAlignment="0" applyProtection="0">
      <alignment vertical="center"/>
    </xf>
    <xf numFmtId="0" fontId="60" fillId="27" borderId="153" applyNumberFormat="0" applyAlignment="0" applyProtection="0">
      <alignment vertical="center"/>
    </xf>
    <xf numFmtId="203" fontId="27" fillId="20" borderId="152">
      <alignment horizontal="center"/>
    </xf>
    <xf numFmtId="0" fontId="27" fillId="22" borderId="152">
      <alignment horizontal="center" vertical="center"/>
      <protection locked="0"/>
    </xf>
    <xf numFmtId="0" fontId="6" fillId="22" borderId="151" applyBorder="0">
      <protection locked="0"/>
    </xf>
    <xf numFmtId="12" fontId="6" fillId="16" borderId="150" applyNumberFormat="0" applyBorder="0" applyAlignment="0" applyProtection="0">
      <alignment horizontal="center"/>
    </xf>
    <xf numFmtId="204" fontId="6" fillId="20" borderId="149" applyBorder="0">
      <alignment horizontal="center"/>
    </xf>
    <xf numFmtId="0" fontId="6" fillId="20" borderId="148" applyBorder="0"/>
    <xf numFmtId="7" fontId="6" fillId="0" borderId="0" applyFill="0" applyBorder="0" applyAlignment="0" applyProtection="0"/>
    <xf numFmtId="202" fontId="35" fillId="17" borderId="144" applyBorder="0"/>
    <xf numFmtId="0" fontId="34" fillId="18" borderId="147" applyFont="0" applyBorder="0">
      <alignment horizontal="centerContinuous" vertical="center"/>
    </xf>
    <xf numFmtId="0" fontId="28" fillId="19" borderId="146" applyNumberFormat="0" applyBorder="0" applyAlignment="0">
      <alignment horizontal="left" wrapText="1"/>
    </xf>
    <xf numFmtId="202" fontId="35" fillId="17" borderId="129" applyBorder="0"/>
    <xf numFmtId="7" fontId="6" fillId="0" borderId="0" applyFill="0" applyBorder="0" applyAlignment="0" applyProtection="0"/>
    <xf numFmtId="5" fontId="6" fillId="0" borderId="0" applyFill="0" applyBorder="0" applyAlignment="0" applyProtection="0"/>
    <xf numFmtId="0" fontId="6" fillId="20" borderId="135" applyBorder="0"/>
    <xf numFmtId="204" fontId="6" fillId="20" borderId="136" applyBorder="0">
      <alignment horizontal="center"/>
    </xf>
    <xf numFmtId="12" fontId="6" fillId="16" borderId="137" applyNumberFormat="0" applyBorder="0" applyAlignment="0" applyProtection="0">
      <alignment horizontal="center"/>
    </xf>
    <xf numFmtId="0" fontId="6" fillId="22" borderId="138" applyBorder="0">
      <protection locked="0"/>
    </xf>
    <xf numFmtId="204" fontId="6" fillId="22" borderId="139" applyBorder="0">
      <alignment horizontal="center"/>
      <protection locked="0"/>
    </xf>
    <xf numFmtId="12" fontId="6" fillId="22" borderId="139" applyBorder="0">
      <alignment horizontal="center"/>
      <protection locked="0"/>
    </xf>
    <xf numFmtId="0" fontId="27" fillId="22" borderId="140">
      <alignment horizontal="center" vertical="center"/>
      <protection locked="0"/>
    </xf>
    <xf numFmtId="0" fontId="30" fillId="20" borderId="139" applyBorder="0">
      <alignment horizontal="left"/>
    </xf>
    <xf numFmtId="203" fontId="27" fillId="20" borderId="140">
      <alignment horizontal="center"/>
    </xf>
    <xf numFmtId="0" fontId="6" fillId="17" borderId="139" applyBorder="0">
      <alignment horizontal="center"/>
      <protection locked="0"/>
    </xf>
    <xf numFmtId="0" fontId="6" fillId="17" borderId="139" applyBorder="0">
      <alignment horizontal="center"/>
    </xf>
    <xf numFmtId="0" fontId="6" fillId="17" borderId="139" applyBorder="0">
      <alignment horizontal="center"/>
    </xf>
    <xf numFmtId="0" fontId="60" fillId="27" borderId="141" applyNumberFormat="0" applyAlignment="0" applyProtection="0">
      <alignment vertical="center"/>
    </xf>
    <xf numFmtId="0" fontId="64" fillId="28" borderId="138" applyNumberFormat="0" applyFont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70" fillId="0" borderId="142" applyNumberFormat="0" applyFill="0" applyAlignment="0" applyProtection="0">
      <alignment vertical="center"/>
    </xf>
    <xf numFmtId="49" fontId="49" fillId="0" borderId="128" applyNumberFormat="0" applyAlignment="0"/>
    <xf numFmtId="0" fontId="73" fillId="7" borderId="141" applyNumberFormat="0" applyAlignment="0" applyProtection="0">
      <alignment vertical="center"/>
    </xf>
    <xf numFmtId="0" fontId="79" fillId="27" borderId="143" applyNumberFormat="0" applyAlignment="0" applyProtection="0">
      <alignment vertical="center"/>
    </xf>
    <xf numFmtId="41" fontId="2" fillId="0" borderId="0" applyFont="0" applyFill="0" applyBorder="0" applyAlignment="0" applyProtection="0"/>
    <xf numFmtId="41" fontId="126" fillId="0" borderId="0"/>
  </cellStyleXfs>
  <cellXfs count="1130">
    <xf numFmtId="0" fontId="0" fillId="0" borderId="0" xfId="0"/>
    <xf numFmtId="0" fontId="9" fillId="0" borderId="2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9" fillId="0" borderId="26" xfId="0" applyFont="1" applyBorder="1" applyAlignment="1">
      <alignment vertical="center"/>
    </xf>
    <xf numFmtId="0" fontId="9" fillId="0" borderId="33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34" xfId="0" applyFont="1" applyBorder="1" applyAlignment="1">
      <alignment vertical="center"/>
    </xf>
    <xf numFmtId="0" fontId="9" fillId="0" borderId="0" xfId="0" applyFont="1" applyAlignment="1">
      <alignment horizontal="right" vertical="center"/>
    </xf>
    <xf numFmtId="179" fontId="9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35" xfId="0" applyFont="1" applyBorder="1" applyAlignment="1">
      <alignment vertical="center"/>
    </xf>
    <xf numFmtId="2" fontId="9" fillId="0" borderId="0" xfId="0" applyNumberFormat="1" applyFont="1" applyAlignment="1">
      <alignment vertical="center"/>
    </xf>
    <xf numFmtId="2" fontId="9" fillId="0" borderId="0" xfId="0" applyNumberFormat="1" applyFont="1" applyAlignment="1">
      <alignment horizontal="left" vertical="center"/>
    </xf>
    <xf numFmtId="179" fontId="9" fillId="0" borderId="0" xfId="0" applyNumberFormat="1" applyFont="1" applyAlignment="1">
      <alignment vertical="center"/>
    </xf>
    <xf numFmtId="179" fontId="9" fillId="0" borderId="0" xfId="0" applyNumberFormat="1" applyFont="1" applyAlignment="1">
      <alignment horizontal="right" vertical="center"/>
    </xf>
    <xf numFmtId="0" fontId="9" fillId="0" borderId="36" xfId="0" applyFont="1" applyBorder="1" applyAlignment="1">
      <alignment vertical="center"/>
    </xf>
    <xf numFmtId="0" fontId="9" fillId="0" borderId="37" xfId="0" applyFont="1" applyBorder="1" applyAlignment="1">
      <alignment vertical="center"/>
    </xf>
    <xf numFmtId="0" fontId="9" fillId="0" borderId="21" xfId="0" applyFont="1" applyBorder="1" applyAlignment="1">
      <alignment vertical="center"/>
    </xf>
    <xf numFmtId="0" fontId="7" fillId="0" borderId="37" xfId="0" applyFont="1" applyBorder="1" applyAlignment="1">
      <alignment horizontal="left" vertical="center"/>
    </xf>
    <xf numFmtId="0" fontId="8" fillId="0" borderId="37" xfId="0" applyFont="1" applyBorder="1" applyAlignment="1">
      <alignment horizontal="left" vertical="center"/>
    </xf>
    <xf numFmtId="0" fontId="9" fillId="0" borderId="37" xfId="0" applyFont="1" applyBorder="1" applyAlignment="1">
      <alignment horizontal="centerContinuous" vertical="center"/>
    </xf>
    <xf numFmtId="41" fontId="9" fillId="0" borderId="37" xfId="2422" applyFont="1" applyFill="1" applyBorder="1" applyAlignment="1">
      <alignment horizontal="centerContinuous" vertical="center"/>
    </xf>
    <xf numFmtId="41" fontId="9" fillId="0" borderId="2" xfId="2422" applyFont="1" applyFill="1" applyBorder="1" applyAlignment="1">
      <alignment vertical="center"/>
    </xf>
    <xf numFmtId="0" fontId="9" fillId="0" borderId="0" xfId="0" applyFont="1" applyAlignment="1">
      <alignment horizontal="center" vertical="center"/>
    </xf>
    <xf numFmtId="41" fontId="9" fillId="0" borderId="0" xfId="2422" applyFont="1" applyFill="1" applyAlignment="1">
      <alignment vertical="center"/>
    </xf>
    <xf numFmtId="177" fontId="9" fillId="0" borderId="2" xfId="2422" applyNumberFormat="1" applyFont="1" applyFill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42" xfId="0" applyFont="1" applyBorder="1" applyAlignment="1">
      <alignment horizontal="left" vertical="center"/>
    </xf>
    <xf numFmtId="178" fontId="9" fillId="0" borderId="43" xfId="0" applyNumberFormat="1" applyFont="1" applyBorder="1" applyAlignment="1">
      <alignment horizontal="center" vertical="center"/>
    </xf>
    <xf numFmtId="178" fontId="9" fillId="0" borderId="44" xfId="0" applyNumberFormat="1" applyFont="1" applyBorder="1" applyAlignment="1">
      <alignment horizontal="center" vertical="center"/>
    </xf>
    <xf numFmtId="178" fontId="9" fillId="0" borderId="45" xfId="0" applyNumberFormat="1" applyFont="1" applyBorder="1" applyAlignment="1">
      <alignment horizontal="center" vertical="center"/>
    </xf>
    <xf numFmtId="0" fontId="9" fillId="0" borderId="46" xfId="0" applyFont="1" applyBorder="1" applyAlignment="1">
      <alignment horizontal="left" vertical="center"/>
    </xf>
    <xf numFmtId="0" fontId="9" fillId="0" borderId="47" xfId="0" applyFont="1" applyBorder="1" applyAlignment="1">
      <alignment horizontal="left" vertical="center"/>
    </xf>
    <xf numFmtId="178" fontId="9" fillId="0" borderId="1" xfId="0" applyNumberFormat="1" applyFont="1" applyBorder="1" applyAlignment="1">
      <alignment horizontal="center" vertical="center"/>
    </xf>
    <xf numFmtId="178" fontId="9" fillId="0" borderId="19" xfId="0" applyNumberFormat="1" applyFont="1" applyBorder="1" applyAlignment="1">
      <alignment horizontal="center" vertical="center"/>
    </xf>
    <xf numFmtId="0" fontId="9" fillId="0" borderId="48" xfId="0" applyFont="1" applyBorder="1" applyAlignment="1">
      <alignment horizontal="left" vertical="center"/>
    </xf>
    <xf numFmtId="178" fontId="9" fillId="0" borderId="49" xfId="0" applyNumberFormat="1" applyFont="1" applyBorder="1" applyAlignment="1">
      <alignment horizontal="center" vertical="center"/>
    </xf>
    <xf numFmtId="178" fontId="9" fillId="0" borderId="20" xfId="0" applyNumberFormat="1" applyFont="1" applyBorder="1" applyAlignment="1">
      <alignment horizontal="center" vertical="center"/>
    </xf>
    <xf numFmtId="178" fontId="9" fillId="0" borderId="50" xfId="0" applyNumberFormat="1" applyFont="1" applyBorder="1" applyAlignment="1">
      <alignment horizontal="center" vertical="center"/>
    </xf>
    <xf numFmtId="178" fontId="9" fillId="0" borderId="51" xfId="0" applyNumberFormat="1" applyFont="1" applyBorder="1" applyAlignment="1">
      <alignment horizontal="center" vertical="center"/>
    </xf>
    <xf numFmtId="178" fontId="9" fillId="0" borderId="52" xfId="0" applyNumberFormat="1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7" fillId="0" borderId="26" xfId="0" applyFont="1" applyBorder="1" applyAlignment="1">
      <alignment horizontal="left" vertical="center"/>
    </xf>
    <xf numFmtId="0" fontId="10" fillId="0" borderId="34" xfId="0" applyFont="1" applyBorder="1" applyAlignment="1">
      <alignment horizontal="left" vertical="center"/>
    </xf>
    <xf numFmtId="0" fontId="9" fillId="0" borderId="35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53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35" xfId="0" applyFont="1" applyBorder="1" applyAlignment="1">
      <alignment horizontal="left" vertical="center"/>
    </xf>
    <xf numFmtId="41" fontId="7" fillId="0" borderId="37" xfId="2422" applyFont="1" applyFill="1" applyBorder="1" applyAlignment="1">
      <alignment vertical="center"/>
    </xf>
    <xf numFmtId="41" fontId="9" fillId="0" borderId="37" xfId="2422" applyFont="1" applyFill="1" applyBorder="1" applyAlignment="1">
      <alignment vertical="center"/>
    </xf>
    <xf numFmtId="0" fontId="9" fillId="0" borderId="37" xfId="0" applyFont="1" applyBorder="1"/>
    <xf numFmtId="182" fontId="9" fillId="0" borderId="37" xfId="2422" applyNumberFormat="1" applyFont="1" applyFill="1" applyBorder="1" applyAlignment="1">
      <alignment vertical="center"/>
    </xf>
    <xf numFmtId="41" fontId="9" fillId="0" borderId="2" xfId="2422" applyFont="1" applyBorder="1" applyAlignment="1">
      <alignment horizontal="center" vertical="center"/>
    </xf>
    <xf numFmtId="41" fontId="9" fillId="0" borderId="2" xfId="0" applyNumberFormat="1" applyFont="1" applyBorder="1" applyAlignment="1">
      <alignment vertical="center"/>
    </xf>
    <xf numFmtId="41" fontId="9" fillId="0" borderId="2" xfId="0" applyNumberFormat="1" applyFont="1" applyBorder="1" applyAlignment="1">
      <alignment horizontal="center" vertical="center"/>
    </xf>
    <xf numFmtId="178" fontId="11" fillId="0" borderId="2" xfId="0" applyNumberFormat="1" applyFont="1" applyBorder="1" applyAlignment="1">
      <alignment horizontal="right" vertical="center"/>
    </xf>
    <xf numFmtId="41" fontId="9" fillId="0" borderId="2" xfId="0" applyNumberFormat="1" applyFont="1" applyBorder="1" applyAlignment="1">
      <alignment horizontal="right" vertical="center"/>
    </xf>
    <xf numFmtId="41" fontId="11" fillId="0" borderId="2" xfId="2422" applyFont="1" applyBorder="1" applyAlignment="1">
      <alignment horizontal="right" vertical="center"/>
    </xf>
    <xf numFmtId="41" fontId="9" fillId="0" borderId="2" xfId="2422" applyFont="1" applyBorder="1" applyAlignment="1">
      <alignment horizontal="right" vertical="center"/>
    </xf>
    <xf numFmtId="183" fontId="9" fillId="0" borderId="2" xfId="2422" applyNumberFormat="1" applyFont="1" applyBorder="1" applyAlignment="1">
      <alignment vertical="center"/>
    </xf>
    <xf numFmtId="41" fontId="9" fillId="0" borderId="2" xfId="0" applyNumberFormat="1" applyFont="1" applyBorder="1" applyAlignment="1">
      <alignment horizontal="left" vertical="center"/>
    </xf>
    <xf numFmtId="179" fontId="11" fillId="0" borderId="0" xfId="0" applyNumberFormat="1" applyFont="1" applyAlignment="1">
      <alignment horizontal="center" vertical="center"/>
    </xf>
    <xf numFmtId="179" fontId="9" fillId="0" borderId="0" xfId="0" applyNumberFormat="1" applyFont="1" applyAlignment="1">
      <alignment horizontal="center" vertical="center"/>
    </xf>
    <xf numFmtId="41" fontId="11" fillId="0" borderId="0" xfId="2422" applyFont="1" applyBorder="1" applyAlignment="1">
      <alignment vertical="center"/>
    </xf>
    <xf numFmtId="41" fontId="9" fillId="0" borderId="0" xfId="2422" applyFont="1" applyBorder="1" applyAlignment="1">
      <alignment vertical="center"/>
    </xf>
    <xf numFmtId="183" fontId="9" fillId="0" borderId="0" xfId="2422" applyNumberFormat="1" applyFont="1" applyBorder="1" applyAlignment="1">
      <alignment vertical="center"/>
    </xf>
    <xf numFmtId="41" fontId="9" fillId="0" borderId="0" xfId="2422" applyFont="1" applyAlignment="1">
      <alignment vertical="center"/>
    </xf>
    <xf numFmtId="182" fontId="9" fillId="0" borderId="0" xfId="2422" applyNumberFormat="1" applyFont="1" applyAlignment="1">
      <alignment vertical="center"/>
    </xf>
    <xf numFmtId="41" fontId="7" fillId="0" borderId="37" xfId="0" applyNumberFormat="1" applyFont="1" applyBorder="1" applyAlignment="1">
      <alignment vertical="center"/>
    </xf>
    <xf numFmtId="41" fontId="8" fillId="0" borderId="37" xfId="0" applyNumberFormat="1" applyFont="1" applyBorder="1" applyAlignment="1">
      <alignment vertical="center"/>
    </xf>
    <xf numFmtId="0" fontId="8" fillId="0" borderId="3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/>
    </xf>
    <xf numFmtId="186" fontId="12" fillId="0" borderId="0" xfId="0" quotePrefix="1" applyNumberFormat="1" applyFont="1" applyAlignment="1">
      <alignment horizontal="left"/>
    </xf>
    <xf numFmtId="41" fontId="9" fillId="0" borderId="0" xfId="0" applyNumberFormat="1" applyFont="1" applyAlignment="1">
      <alignment vertical="center"/>
    </xf>
    <xf numFmtId="0" fontId="5" fillId="0" borderId="0" xfId="2512" applyFont="1" applyAlignment="1">
      <alignment vertical="center"/>
    </xf>
    <xf numFmtId="0" fontId="8" fillId="0" borderId="0" xfId="0" applyFont="1" applyAlignment="1">
      <alignment horizontal="left" vertical="center"/>
    </xf>
    <xf numFmtId="3" fontId="9" fillId="0" borderId="2" xfId="2422" applyNumberFormat="1" applyFont="1" applyFill="1" applyBorder="1" applyAlignment="1">
      <alignment vertical="center"/>
    </xf>
    <xf numFmtId="37" fontId="9" fillId="0" borderId="0" xfId="0" applyNumberFormat="1" applyFont="1" applyAlignment="1">
      <alignment horizontal="center" vertical="center"/>
    </xf>
    <xf numFmtId="184" fontId="9" fillId="0" borderId="2" xfId="0" applyNumberFormat="1" applyFont="1" applyBorder="1" applyAlignment="1">
      <alignment vertical="center"/>
    </xf>
    <xf numFmtId="0" fontId="9" fillId="0" borderId="0" xfId="0" applyFont="1" applyAlignment="1">
      <alignment horizontal="centerContinuous" vertical="center"/>
    </xf>
    <xf numFmtId="0" fontId="9" fillId="0" borderId="9" xfId="0" applyFont="1" applyBorder="1" applyAlignment="1">
      <alignment vertical="center"/>
    </xf>
    <xf numFmtId="41" fontId="9" fillId="0" borderId="34" xfId="2422" applyFont="1" applyBorder="1" applyAlignment="1">
      <alignment vertical="center"/>
    </xf>
    <xf numFmtId="178" fontId="9" fillId="0" borderId="34" xfId="2422" applyNumberFormat="1" applyFont="1" applyBorder="1" applyAlignment="1" applyProtection="1">
      <alignment vertical="center"/>
    </xf>
    <xf numFmtId="37" fontId="9" fillId="0" borderId="34" xfId="0" applyNumberFormat="1" applyFont="1" applyBorder="1" applyAlignment="1">
      <alignment vertical="center"/>
    </xf>
    <xf numFmtId="178" fontId="9" fillId="0" borderId="35" xfId="2422" quotePrefix="1" applyNumberFormat="1" applyFont="1" applyBorder="1" applyAlignment="1" applyProtection="1">
      <alignment vertical="center"/>
    </xf>
    <xf numFmtId="41" fontId="9" fillId="0" borderId="35" xfId="2422" quotePrefix="1" applyFont="1" applyBorder="1" applyAlignment="1" applyProtection="1">
      <alignment vertical="center"/>
    </xf>
    <xf numFmtId="41" fontId="9" fillId="0" borderId="34" xfId="2422" applyFont="1" applyBorder="1" applyAlignment="1" applyProtection="1">
      <alignment vertical="center"/>
    </xf>
    <xf numFmtId="41" fontId="9" fillId="0" borderId="36" xfId="2422" applyFont="1" applyBorder="1" applyAlignment="1">
      <alignment vertical="center"/>
    </xf>
    <xf numFmtId="41" fontId="9" fillId="0" borderId="36" xfId="2422" applyFont="1" applyBorder="1" applyAlignment="1" applyProtection="1">
      <alignment vertical="center"/>
    </xf>
    <xf numFmtId="2" fontId="9" fillId="0" borderId="34" xfId="0" applyNumberFormat="1" applyFont="1" applyBorder="1" applyAlignment="1">
      <alignment vertical="center"/>
    </xf>
    <xf numFmtId="41" fontId="9" fillId="0" borderId="34" xfId="2422" applyFont="1" applyBorder="1" applyAlignment="1" applyProtection="1">
      <alignment vertical="center"/>
      <protection locked="0"/>
    </xf>
    <xf numFmtId="3" fontId="9" fillId="0" borderId="0" xfId="0" applyNumberFormat="1" applyFont="1" applyAlignment="1">
      <alignment vertical="center"/>
    </xf>
    <xf numFmtId="41" fontId="9" fillId="0" borderId="37" xfId="2422" applyFont="1" applyBorder="1" applyAlignment="1">
      <alignment vertical="center"/>
    </xf>
    <xf numFmtId="2" fontId="9" fillId="0" borderId="37" xfId="0" applyNumberFormat="1" applyFont="1" applyBorder="1" applyAlignment="1">
      <alignment vertical="center"/>
    </xf>
    <xf numFmtId="41" fontId="9" fillId="0" borderId="0" xfId="2422" applyFont="1" applyBorder="1" applyAlignment="1" applyProtection="1">
      <alignment vertical="center"/>
    </xf>
    <xf numFmtId="0" fontId="9" fillId="0" borderId="54" xfId="0" applyFont="1" applyBorder="1" applyAlignment="1">
      <alignment vertical="center"/>
    </xf>
    <xf numFmtId="178" fontId="9" fillId="0" borderId="34" xfId="0" applyNumberFormat="1" applyFont="1" applyBorder="1" applyAlignment="1">
      <alignment vertical="center"/>
    </xf>
    <xf numFmtId="0" fontId="51" fillId="0" borderId="37" xfId="0" applyFont="1" applyBorder="1" applyAlignment="1">
      <alignment horizontal="centerContinuous" vertical="center"/>
    </xf>
    <xf numFmtId="0" fontId="8" fillId="0" borderId="37" xfId="0" applyFont="1" applyBorder="1" applyAlignment="1">
      <alignment horizontal="centerContinuous" vertical="center"/>
    </xf>
    <xf numFmtId="0" fontId="9" fillId="0" borderId="34" xfId="0" applyFont="1" applyBorder="1" applyAlignment="1">
      <alignment horizontal="left" vertical="center"/>
    </xf>
    <xf numFmtId="41" fontId="9" fillId="0" borderId="36" xfId="2422" applyFont="1" applyFill="1" applyBorder="1" applyAlignment="1" applyProtection="1">
      <alignment vertical="center"/>
    </xf>
    <xf numFmtId="41" fontId="9" fillId="0" borderId="34" xfId="2422" applyFont="1" applyFill="1" applyBorder="1" applyAlignment="1">
      <alignment vertical="center"/>
    </xf>
    <xf numFmtId="41" fontId="9" fillId="0" borderId="34" xfId="2422" applyFont="1" applyFill="1" applyBorder="1" applyAlignment="1" applyProtection="1">
      <alignment vertical="center"/>
      <protection locked="0"/>
    </xf>
    <xf numFmtId="0" fontId="51" fillId="0" borderId="0" xfId="0" applyFont="1" applyAlignment="1">
      <alignment horizontal="center" vertical="center"/>
    </xf>
    <xf numFmtId="0" fontId="9" fillId="0" borderId="10" xfId="0" applyFont="1" applyBorder="1" applyAlignment="1">
      <alignment vertical="center"/>
    </xf>
    <xf numFmtId="41" fontId="9" fillId="0" borderId="10" xfId="2422" applyFont="1" applyBorder="1" applyAlignment="1">
      <alignment vertical="center"/>
    </xf>
    <xf numFmtId="0" fontId="9" fillId="0" borderId="54" xfId="0" applyFont="1" applyBorder="1" applyAlignment="1">
      <alignment horizontal="center" vertical="center"/>
    </xf>
    <xf numFmtId="41" fontId="9" fillId="0" borderId="54" xfId="2422" applyFont="1" applyBorder="1" applyAlignment="1" applyProtection="1">
      <alignment vertical="center"/>
      <protection locked="0"/>
    </xf>
    <xf numFmtId="0" fontId="9" fillId="0" borderId="53" xfId="0" applyFont="1" applyBorder="1" applyAlignment="1">
      <alignment vertical="center"/>
    </xf>
    <xf numFmtId="41" fontId="9" fillId="0" borderId="53" xfId="2422" applyFont="1" applyBorder="1" applyAlignment="1" applyProtection="1">
      <alignment vertical="center"/>
    </xf>
    <xf numFmtId="0" fontId="51" fillId="0" borderId="37" xfId="0" applyFont="1" applyBorder="1" applyAlignment="1">
      <alignment horizontal="left" vertical="center"/>
    </xf>
    <xf numFmtId="49" fontId="9" fillId="0" borderId="2" xfId="0" quotePrefix="1" applyNumberFormat="1" applyFont="1" applyBorder="1" applyAlignment="1">
      <alignment horizontal="left" vertical="center"/>
    </xf>
    <xf numFmtId="0" fontId="9" fillId="0" borderId="37" xfId="0" applyFont="1" applyBorder="1" applyAlignment="1">
      <alignment horizontal="left" vertical="center"/>
    </xf>
    <xf numFmtId="0" fontId="9" fillId="0" borderId="37" xfId="0" applyFont="1" applyBorder="1" applyAlignment="1">
      <alignment horizontal="right" vertical="center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41" fontId="11" fillId="0" borderId="0" xfId="2422" applyFont="1" applyFill="1" applyBorder="1" applyAlignment="1">
      <alignment horizontal="right" vertical="center"/>
    </xf>
    <xf numFmtId="0" fontId="9" fillId="0" borderId="0" xfId="0" applyFont="1"/>
    <xf numFmtId="0" fontId="7" fillId="0" borderId="0" xfId="0" applyFont="1" applyAlignment="1">
      <alignment vertical="center"/>
    </xf>
    <xf numFmtId="0" fontId="9" fillId="0" borderId="2" xfId="0" quotePrefix="1" applyFont="1" applyBorder="1" applyAlignment="1">
      <alignment vertical="center"/>
    </xf>
    <xf numFmtId="184" fontId="9" fillId="0" borderId="0" xfId="0" applyNumberFormat="1" applyFont="1" applyAlignment="1">
      <alignment horizontal="left" vertical="center"/>
    </xf>
    <xf numFmtId="177" fontId="9" fillId="0" borderId="0" xfId="0" applyNumberFormat="1" applyFont="1" applyAlignment="1">
      <alignment vertical="center"/>
    </xf>
    <xf numFmtId="2" fontId="9" fillId="0" borderId="0" xfId="0" applyNumberFormat="1" applyFont="1" applyAlignment="1">
      <alignment horizontal="right" vertical="center"/>
    </xf>
    <xf numFmtId="184" fontId="9" fillId="0" borderId="0" xfId="0" applyNumberFormat="1" applyFont="1" applyAlignment="1">
      <alignment vertical="center"/>
    </xf>
    <xf numFmtId="185" fontId="9" fillId="0" borderId="0" xfId="0" applyNumberFormat="1" applyFont="1" applyAlignment="1">
      <alignment horizontal="left" vertical="center"/>
    </xf>
    <xf numFmtId="185" fontId="9" fillId="0" borderId="0" xfId="0" applyNumberFormat="1" applyFont="1" applyAlignment="1">
      <alignment vertical="center"/>
    </xf>
    <xf numFmtId="0" fontId="9" fillId="0" borderId="43" xfId="0" applyFont="1" applyBorder="1" applyAlignment="1">
      <alignment vertical="center"/>
    </xf>
    <xf numFmtId="0" fontId="9" fillId="0" borderId="44" xfId="0" applyFont="1" applyBorder="1" applyAlignment="1">
      <alignment vertical="center"/>
    </xf>
    <xf numFmtId="2" fontId="9" fillId="0" borderId="44" xfId="0" applyNumberFormat="1" applyFont="1" applyBorder="1" applyAlignment="1">
      <alignment vertical="center"/>
    </xf>
    <xf numFmtId="0" fontId="9" fillId="0" borderId="45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2" fontId="9" fillId="0" borderId="19" xfId="0" applyNumberFormat="1" applyFont="1" applyBorder="1" applyAlignment="1">
      <alignment vertical="center"/>
    </xf>
    <xf numFmtId="0" fontId="9" fillId="0" borderId="19" xfId="0" applyFont="1" applyBorder="1" applyAlignment="1">
      <alignment horizontal="right" vertical="center"/>
    </xf>
    <xf numFmtId="0" fontId="9" fillId="0" borderId="46" xfId="0" applyFont="1" applyBorder="1" applyAlignment="1">
      <alignment vertical="center"/>
    </xf>
    <xf numFmtId="184" fontId="9" fillId="0" borderId="19" xfId="0" applyNumberFormat="1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1" fontId="9" fillId="0" borderId="19" xfId="0" applyNumberFormat="1" applyFont="1" applyBorder="1" applyAlignment="1">
      <alignment vertical="center"/>
    </xf>
    <xf numFmtId="0" fontId="9" fillId="0" borderId="49" xfId="0" applyFont="1" applyBorder="1" applyAlignment="1">
      <alignment vertical="center"/>
    </xf>
    <xf numFmtId="0" fontId="9" fillId="0" borderId="20" xfId="0" applyFont="1" applyBorder="1" applyAlignment="1">
      <alignment horizontal="left" vertical="center"/>
    </xf>
    <xf numFmtId="0" fontId="11" fillId="0" borderId="33" xfId="0" applyFont="1" applyBorder="1" applyAlignment="1">
      <alignment horizontal="right" vertical="center"/>
    </xf>
    <xf numFmtId="0" fontId="9" fillId="0" borderId="20" xfId="0" applyFont="1" applyBorder="1" applyAlignment="1">
      <alignment horizontal="right" vertical="center"/>
    </xf>
    <xf numFmtId="0" fontId="9" fillId="0" borderId="20" xfId="0" applyFont="1" applyBorder="1" applyAlignment="1">
      <alignment vertical="center"/>
    </xf>
    <xf numFmtId="2" fontId="9" fillId="0" borderId="20" xfId="0" applyNumberFormat="1" applyFont="1" applyBorder="1" applyAlignment="1">
      <alignment vertical="center"/>
    </xf>
    <xf numFmtId="1" fontId="9" fillId="0" borderId="20" xfId="0" applyNumberFormat="1" applyFont="1" applyBorder="1" applyAlignment="1">
      <alignment vertical="center"/>
    </xf>
    <xf numFmtId="0" fontId="9" fillId="0" borderId="50" xfId="0" applyFont="1" applyBorder="1" applyAlignment="1">
      <alignment vertical="center"/>
    </xf>
    <xf numFmtId="0" fontId="9" fillId="0" borderId="55" xfId="0" applyFont="1" applyBorder="1" applyAlignment="1">
      <alignment vertical="center"/>
    </xf>
    <xf numFmtId="0" fontId="9" fillId="0" borderId="56" xfId="0" applyFont="1" applyBorder="1" applyAlignment="1">
      <alignment vertical="center"/>
    </xf>
    <xf numFmtId="1" fontId="9" fillId="0" borderId="56" xfId="0" applyNumberFormat="1" applyFont="1" applyBorder="1" applyAlignment="1">
      <alignment vertical="center"/>
    </xf>
    <xf numFmtId="184" fontId="9" fillId="0" borderId="56" xfId="0" applyNumberFormat="1" applyFont="1" applyBorder="1" applyAlignment="1">
      <alignment vertical="center"/>
    </xf>
    <xf numFmtId="2" fontId="9" fillId="0" borderId="57" xfId="0" applyNumberFormat="1" applyFont="1" applyBorder="1" applyAlignment="1">
      <alignment vertical="center"/>
    </xf>
    <xf numFmtId="2" fontId="9" fillId="0" borderId="58" xfId="0" applyNumberFormat="1" applyFont="1" applyBorder="1" applyAlignment="1">
      <alignment vertical="center"/>
    </xf>
    <xf numFmtId="0" fontId="9" fillId="0" borderId="59" xfId="0" applyFont="1" applyBorder="1" applyAlignment="1">
      <alignment vertical="center"/>
    </xf>
    <xf numFmtId="2" fontId="9" fillId="0" borderId="60" xfId="0" applyNumberFormat="1" applyFont="1" applyBorder="1" applyAlignment="1">
      <alignment vertical="center"/>
    </xf>
    <xf numFmtId="2" fontId="9" fillId="0" borderId="37" xfId="0" applyNumberFormat="1" applyFont="1" applyBorder="1" applyAlignment="1">
      <alignment horizontal="left" vertical="center"/>
    </xf>
    <xf numFmtId="0" fontId="9" fillId="0" borderId="33" xfId="0" applyFont="1" applyBorder="1"/>
    <xf numFmtId="184" fontId="9" fillId="0" borderId="37" xfId="0" applyNumberFormat="1" applyFont="1" applyBorder="1" applyAlignment="1">
      <alignment horizontal="left" vertical="center"/>
    </xf>
    <xf numFmtId="2" fontId="9" fillId="0" borderId="33" xfId="0" applyNumberFormat="1" applyFont="1" applyBorder="1" applyAlignment="1">
      <alignment vertical="center"/>
    </xf>
    <xf numFmtId="0" fontId="9" fillId="0" borderId="33" xfId="0" applyFont="1" applyBorder="1" applyAlignment="1">
      <alignment horizontal="right" vertical="center"/>
    </xf>
    <xf numFmtId="0" fontId="9" fillId="0" borderId="5" xfId="0" applyFont="1" applyBorder="1" applyAlignment="1">
      <alignment horizontal="left" vertical="center"/>
    </xf>
    <xf numFmtId="41" fontId="8" fillId="0" borderId="37" xfId="2422" applyFont="1" applyFill="1" applyBorder="1" applyAlignment="1">
      <alignment vertical="center"/>
    </xf>
    <xf numFmtId="176" fontId="9" fillId="0" borderId="2" xfId="2422" applyNumberFormat="1" applyFont="1" applyFill="1" applyBorder="1" applyAlignment="1">
      <alignment vertical="center"/>
    </xf>
    <xf numFmtId="2" fontId="9" fillId="0" borderId="2" xfId="0" applyNumberFormat="1" applyFont="1" applyBorder="1" applyAlignme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187" fontId="9" fillId="0" borderId="37" xfId="2422" applyNumberFormat="1" applyFont="1" applyFill="1" applyBorder="1" applyAlignment="1">
      <alignment horizontal="left" vertical="center"/>
    </xf>
    <xf numFmtId="41" fontId="9" fillId="0" borderId="21" xfId="2422" applyFont="1" applyFill="1" applyBorder="1" applyAlignment="1">
      <alignment vertical="center"/>
    </xf>
    <xf numFmtId="0" fontId="9" fillId="0" borderId="61" xfId="0" applyFont="1" applyBorder="1" applyAlignment="1">
      <alignment vertical="center"/>
    </xf>
    <xf numFmtId="1" fontId="9" fillId="0" borderId="47" xfId="0" applyNumberFormat="1" applyFont="1" applyBorder="1" applyAlignment="1">
      <alignment vertical="center"/>
    </xf>
    <xf numFmtId="0" fontId="9" fillId="0" borderId="47" xfId="0" applyFont="1" applyBorder="1" applyAlignment="1">
      <alignment horizontal="center" vertical="center"/>
    </xf>
    <xf numFmtId="177" fontId="9" fillId="0" borderId="55" xfId="2422" applyNumberFormat="1" applyFont="1" applyFill="1" applyBorder="1" applyAlignment="1">
      <alignment vertical="center"/>
    </xf>
    <xf numFmtId="177" fontId="9" fillId="0" borderId="62" xfId="2422" applyNumberFormat="1" applyFont="1" applyFill="1" applyBorder="1" applyAlignment="1">
      <alignment vertical="center"/>
    </xf>
    <xf numFmtId="177" fontId="9" fillId="0" borderId="63" xfId="2422" applyNumberFormat="1" applyFont="1" applyFill="1" applyBorder="1" applyAlignment="1">
      <alignment vertical="center"/>
    </xf>
    <xf numFmtId="0" fontId="9" fillId="0" borderId="54" xfId="0" applyFont="1" applyBorder="1" applyAlignment="1">
      <alignment horizontal="left" vertical="center"/>
    </xf>
    <xf numFmtId="177" fontId="9" fillId="0" borderId="1" xfId="2422" applyNumberFormat="1" applyFont="1" applyFill="1" applyBorder="1" applyAlignment="1">
      <alignment vertical="center"/>
    </xf>
    <xf numFmtId="177" fontId="9" fillId="0" borderId="58" xfId="2422" applyNumberFormat="1" applyFont="1" applyFill="1" applyBorder="1" applyAlignment="1">
      <alignment vertical="center"/>
    </xf>
    <xf numFmtId="177" fontId="9" fillId="0" borderId="64" xfId="2422" applyNumberFormat="1" applyFont="1" applyFill="1" applyBorder="1" applyAlignment="1">
      <alignment vertical="center"/>
    </xf>
    <xf numFmtId="0" fontId="9" fillId="0" borderId="47" xfId="0" applyFont="1" applyBorder="1" applyAlignment="1">
      <alignment vertical="center"/>
    </xf>
    <xf numFmtId="2" fontId="9" fillId="0" borderId="47" xfId="0" applyNumberFormat="1" applyFont="1" applyBorder="1" applyAlignment="1">
      <alignment vertical="center"/>
    </xf>
    <xf numFmtId="0" fontId="9" fillId="0" borderId="53" xfId="0" applyFont="1" applyBorder="1" applyAlignment="1">
      <alignment horizontal="left" vertical="center"/>
    </xf>
    <xf numFmtId="177" fontId="9" fillId="0" borderId="60" xfId="2422" applyNumberFormat="1" applyFont="1" applyFill="1" applyBorder="1" applyAlignment="1">
      <alignment vertical="center"/>
    </xf>
    <xf numFmtId="177" fontId="9" fillId="0" borderId="65" xfId="2422" applyNumberFormat="1" applyFont="1" applyFill="1" applyBorder="1" applyAlignment="1">
      <alignment vertical="center"/>
    </xf>
    <xf numFmtId="177" fontId="9" fillId="0" borderId="37" xfId="2422" applyNumberFormat="1" applyFont="1" applyFill="1" applyBorder="1" applyAlignment="1">
      <alignment vertical="center"/>
    </xf>
    <xf numFmtId="177" fontId="9" fillId="0" borderId="21" xfId="2422" applyNumberFormat="1" applyFont="1" applyFill="1" applyBorder="1" applyAlignment="1">
      <alignment vertical="center"/>
    </xf>
    <xf numFmtId="0" fontId="11" fillId="0" borderId="0" xfId="0" quotePrefix="1" applyFont="1" applyAlignment="1">
      <alignment horizontal="right" vertical="center"/>
    </xf>
    <xf numFmtId="2" fontId="9" fillId="0" borderId="54" xfId="0" applyNumberFormat="1" applyFont="1" applyBorder="1" applyAlignment="1">
      <alignment vertical="center"/>
    </xf>
    <xf numFmtId="177" fontId="9" fillId="0" borderId="31" xfId="2422" applyNumberFormat="1" applyFont="1" applyFill="1" applyBorder="1" applyAlignment="1">
      <alignment vertical="center"/>
    </xf>
    <xf numFmtId="177" fontId="9" fillId="0" borderId="35" xfId="2422" applyNumberFormat="1" applyFont="1" applyFill="1" applyBorder="1" applyAlignment="1">
      <alignment vertical="center"/>
    </xf>
    <xf numFmtId="177" fontId="9" fillId="0" borderId="66" xfId="2422" applyNumberFormat="1" applyFont="1" applyFill="1" applyBorder="1" applyAlignment="1">
      <alignment vertical="center"/>
    </xf>
    <xf numFmtId="0" fontId="9" fillId="0" borderId="42" xfId="0" applyFont="1" applyBorder="1" applyAlignment="1">
      <alignment vertical="center"/>
    </xf>
    <xf numFmtId="0" fontId="9" fillId="0" borderId="42" xfId="0" applyFont="1" applyBorder="1" applyAlignment="1">
      <alignment horizontal="center" vertical="center"/>
    </xf>
    <xf numFmtId="177" fontId="9" fillId="0" borderId="67" xfId="2422" applyNumberFormat="1" applyFont="1" applyFill="1" applyBorder="1" applyAlignment="1">
      <alignment vertical="center"/>
    </xf>
    <xf numFmtId="177" fontId="9" fillId="0" borderId="68" xfId="2422" applyNumberFormat="1" applyFont="1" applyFill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9" fillId="0" borderId="9" xfId="0" applyFont="1" applyBorder="1" applyAlignment="1">
      <alignment horizontal="left" vertical="center"/>
    </xf>
    <xf numFmtId="0" fontId="9" fillId="0" borderId="9" xfId="0" applyFont="1" applyBorder="1" applyAlignment="1">
      <alignment horizontal="center" vertical="center"/>
    </xf>
    <xf numFmtId="187" fontId="9" fillId="0" borderId="9" xfId="2422" applyNumberFormat="1" applyFont="1" applyFill="1" applyBorder="1" applyAlignment="1">
      <alignment horizontal="left" vertical="center"/>
    </xf>
    <xf numFmtId="177" fontId="9" fillId="0" borderId="9" xfId="2422" applyNumberFormat="1" applyFont="1" applyFill="1" applyBorder="1" applyAlignment="1">
      <alignment vertical="center"/>
    </xf>
    <xf numFmtId="177" fontId="9" fillId="0" borderId="15" xfId="2422" applyNumberFormat="1" applyFont="1" applyFill="1" applyBorder="1" applyAlignment="1">
      <alignment vertical="center"/>
    </xf>
    <xf numFmtId="0" fontId="9" fillId="0" borderId="69" xfId="0" applyFont="1" applyBorder="1" applyAlignment="1">
      <alignment vertical="center"/>
    </xf>
    <xf numFmtId="0" fontId="9" fillId="0" borderId="70" xfId="0" applyFont="1" applyBorder="1" applyAlignment="1">
      <alignment horizontal="left" vertical="center"/>
    </xf>
    <xf numFmtId="0" fontId="9" fillId="0" borderId="70" xfId="0" applyFont="1" applyBorder="1" applyAlignment="1">
      <alignment vertical="center"/>
    </xf>
    <xf numFmtId="0" fontId="9" fillId="0" borderId="70" xfId="0" applyFont="1" applyBorder="1" applyAlignment="1">
      <alignment horizontal="center" vertical="center"/>
    </xf>
    <xf numFmtId="0" fontId="9" fillId="0" borderId="48" xfId="0" applyFont="1" applyBorder="1" applyAlignment="1">
      <alignment vertical="center"/>
    </xf>
    <xf numFmtId="0" fontId="9" fillId="0" borderId="48" xfId="0" applyFont="1" applyBorder="1" applyAlignment="1">
      <alignment horizontal="center" vertical="center"/>
    </xf>
    <xf numFmtId="179" fontId="9" fillId="0" borderId="37" xfId="0" applyNumberFormat="1" applyFont="1" applyBorder="1" applyAlignment="1">
      <alignment vertical="center"/>
    </xf>
    <xf numFmtId="179" fontId="9" fillId="0" borderId="33" xfId="0" applyNumberFormat="1" applyFont="1" applyBorder="1" applyAlignment="1">
      <alignment vertical="center"/>
    </xf>
    <xf numFmtId="41" fontId="7" fillId="0" borderId="0" xfId="2422" applyFont="1" applyFill="1" applyBorder="1" applyAlignment="1">
      <alignment horizontal="left" vertical="center"/>
    </xf>
    <xf numFmtId="41" fontId="8" fillId="0" borderId="0" xfId="2422" applyFont="1" applyFill="1" applyBorder="1" applyAlignment="1">
      <alignment horizontal="centerContinuous" vertical="center"/>
    </xf>
    <xf numFmtId="180" fontId="8" fillId="0" borderId="0" xfId="2422" applyNumberFormat="1" applyFont="1" applyFill="1" applyBorder="1" applyAlignment="1">
      <alignment horizontal="centerContinuous" vertical="center"/>
    </xf>
    <xf numFmtId="181" fontId="8" fillId="0" borderId="0" xfId="2422" applyNumberFormat="1" applyFont="1" applyFill="1" applyBorder="1" applyAlignment="1">
      <alignment horizontal="centerContinuous" vertical="center"/>
    </xf>
    <xf numFmtId="180" fontId="9" fillId="0" borderId="0" xfId="2422" applyNumberFormat="1" applyFont="1" applyFill="1" applyAlignment="1">
      <alignment vertical="center"/>
    </xf>
    <xf numFmtId="181" fontId="9" fillId="0" borderId="0" xfId="2422" applyNumberFormat="1" applyFont="1" applyFill="1" applyAlignment="1">
      <alignment vertical="center"/>
    </xf>
    <xf numFmtId="181" fontId="9" fillId="0" borderId="2" xfId="2422" applyNumberFormat="1" applyFont="1" applyFill="1" applyBorder="1" applyAlignment="1">
      <alignment horizontal="center" vertical="center"/>
    </xf>
    <xf numFmtId="180" fontId="9" fillId="0" borderId="2" xfId="2422" applyNumberFormat="1" applyFont="1" applyFill="1" applyBorder="1" applyAlignment="1">
      <alignment vertical="center"/>
    </xf>
    <xf numFmtId="41" fontId="9" fillId="0" borderId="2" xfId="2422" applyFont="1" applyBorder="1" applyAlignment="1">
      <alignment vertical="center"/>
    </xf>
    <xf numFmtId="180" fontId="9" fillId="0" borderId="2" xfId="2422" applyNumberFormat="1" applyFont="1" applyBorder="1" applyAlignment="1">
      <alignment vertical="center"/>
    </xf>
    <xf numFmtId="0" fontId="50" fillId="0" borderId="0" xfId="0" applyFont="1" applyAlignment="1">
      <alignment horizontal="left" vertical="center"/>
    </xf>
    <xf numFmtId="0" fontId="11" fillId="0" borderId="0" xfId="0" applyFont="1" applyAlignment="1">
      <alignment horizontal="centerContinuous" vertical="center"/>
    </xf>
    <xf numFmtId="2" fontId="11" fillId="0" borderId="0" xfId="0" applyNumberFormat="1" applyFont="1" applyAlignment="1">
      <alignment horizontal="centerContinuous" vertical="center"/>
    </xf>
    <xf numFmtId="41" fontId="11" fillId="0" borderId="0" xfId="2422" applyFont="1" applyFill="1" applyBorder="1" applyAlignment="1">
      <alignment horizontal="centerContinuous" vertical="center"/>
    </xf>
    <xf numFmtId="0" fontId="11" fillId="0" borderId="0" xfId="0" applyFont="1" applyAlignment="1">
      <alignment vertical="center"/>
    </xf>
    <xf numFmtId="0" fontId="11" fillId="0" borderId="26" xfId="0" applyFont="1" applyBorder="1" applyAlignment="1">
      <alignment horizontal="centerContinuous" vertical="center"/>
    </xf>
    <xf numFmtId="0" fontId="11" fillId="0" borderId="33" xfId="0" applyFont="1" applyBorder="1" applyAlignment="1">
      <alignment horizontal="centerContinuous" vertical="center"/>
    </xf>
    <xf numFmtId="2" fontId="11" fillId="0" borderId="33" xfId="0" applyNumberFormat="1" applyFont="1" applyBorder="1" applyAlignment="1">
      <alignment horizontal="centerContinuous" vertical="center"/>
    </xf>
    <xf numFmtId="41" fontId="11" fillId="0" borderId="33" xfId="2422" applyFont="1" applyFill="1" applyBorder="1" applyAlignment="1">
      <alignment horizontal="centerContinuous" vertical="center"/>
    </xf>
    <xf numFmtId="0" fontId="11" fillId="0" borderId="5" xfId="0" applyFont="1" applyBorder="1" applyAlignment="1">
      <alignment vertical="center"/>
    </xf>
    <xf numFmtId="0" fontId="11" fillId="0" borderId="34" xfId="0" applyFont="1" applyBorder="1" applyAlignment="1">
      <alignment vertical="center"/>
    </xf>
    <xf numFmtId="0" fontId="11" fillId="0" borderId="0" xfId="0" quotePrefix="1" applyFont="1" applyAlignment="1">
      <alignment horizontal="left" vertical="center"/>
    </xf>
    <xf numFmtId="2" fontId="11" fillId="0" borderId="0" xfId="0" applyNumberFormat="1" applyFont="1" applyAlignment="1">
      <alignment vertical="center"/>
    </xf>
    <xf numFmtId="41" fontId="11" fillId="0" borderId="0" xfId="2422" applyFont="1" applyFill="1" applyBorder="1" applyAlignment="1">
      <alignment vertical="center"/>
    </xf>
    <xf numFmtId="0" fontId="11" fillId="0" borderId="35" xfId="0" applyFont="1" applyBorder="1" applyAlignment="1">
      <alignment vertical="center"/>
    </xf>
    <xf numFmtId="1" fontId="11" fillId="0" borderId="0" xfId="0" applyNumberFormat="1" applyFont="1" applyAlignment="1">
      <alignment vertical="center"/>
    </xf>
    <xf numFmtId="2" fontId="11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179" fontId="11" fillId="0" borderId="0" xfId="0" applyNumberFormat="1" applyFont="1" applyAlignment="1">
      <alignment vertical="center"/>
    </xf>
    <xf numFmtId="41" fontId="11" fillId="0" borderId="0" xfId="2422" quotePrefix="1" applyFont="1" applyFill="1" applyBorder="1" applyAlignment="1">
      <alignment horizontal="left" vertical="center"/>
    </xf>
    <xf numFmtId="2" fontId="11" fillId="0" borderId="0" xfId="0" quotePrefix="1" applyNumberFormat="1" applyFont="1" applyAlignment="1">
      <alignment horizontal="left" vertical="center"/>
    </xf>
    <xf numFmtId="41" fontId="11" fillId="0" borderId="0" xfId="2422" quotePrefix="1" applyFont="1" applyBorder="1" applyAlignment="1">
      <alignment horizontal="left" vertical="center"/>
    </xf>
    <xf numFmtId="179" fontId="11" fillId="0" borderId="0" xfId="0" applyNumberFormat="1" applyFont="1" applyAlignment="1">
      <alignment horizontal="left" vertical="center"/>
    </xf>
    <xf numFmtId="41" fontId="11" fillId="0" borderId="0" xfId="2422" quotePrefix="1" applyFont="1" applyFill="1" applyBorder="1" applyAlignment="1">
      <alignment horizontal="right" vertical="center"/>
    </xf>
    <xf numFmtId="2" fontId="11" fillId="0" borderId="0" xfId="0" applyNumberFormat="1" applyFont="1" applyAlignment="1">
      <alignment horizontal="right" vertical="center"/>
    </xf>
    <xf numFmtId="0" fontId="11" fillId="0" borderId="0" xfId="0" quotePrefix="1" applyFont="1" applyAlignment="1">
      <alignment horizontal="center" vertical="center"/>
    </xf>
    <xf numFmtId="2" fontId="11" fillId="0" borderId="0" xfId="2422" applyNumberFormat="1" applyFont="1" applyFill="1" applyBorder="1" applyAlignment="1">
      <alignment vertical="center"/>
    </xf>
    <xf numFmtId="3" fontId="11" fillId="0" borderId="0" xfId="0" applyNumberFormat="1" applyFont="1" applyAlignment="1">
      <alignment vertical="center"/>
    </xf>
    <xf numFmtId="41" fontId="11" fillId="0" borderId="0" xfId="0" applyNumberFormat="1" applyFont="1" applyAlignment="1">
      <alignment vertical="center"/>
    </xf>
    <xf numFmtId="179" fontId="11" fillId="0" borderId="0" xfId="0" quotePrefix="1" applyNumberFormat="1" applyFont="1" applyAlignment="1">
      <alignment horizontal="center" vertical="center"/>
    </xf>
    <xf numFmtId="0" fontId="11" fillId="0" borderId="36" xfId="0" applyFont="1" applyBorder="1" applyAlignment="1">
      <alignment vertical="center"/>
    </xf>
    <xf numFmtId="0" fontId="11" fillId="0" borderId="37" xfId="0" applyFont="1" applyBorder="1" applyAlignment="1">
      <alignment vertical="center"/>
    </xf>
    <xf numFmtId="0" fontId="11" fillId="0" borderId="37" xfId="0" applyFont="1" applyBorder="1" applyAlignment="1">
      <alignment horizontal="left" vertical="center"/>
    </xf>
    <xf numFmtId="2" fontId="11" fillId="0" borderId="37" xfId="0" applyNumberFormat="1" applyFont="1" applyBorder="1" applyAlignment="1">
      <alignment vertical="center"/>
    </xf>
    <xf numFmtId="41" fontId="11" fillId="0" borderId="37" xfId="2422" applyFont="1" applyFill="1" applyBorder="1" applyAlignment="1">
      <alignment vertical="center"/>
    </xf>
    <xf numFmtId="0" fontId="11" fillId="0" borderId="21" xfId="0" applyFont="1" applyBorder="1" applyAlignment="1">
      <alignment vertical="center"/>
    </xf>
    <xf numFmtId="41" fontId="11" fillId="0" borderId="0" xfId="2422" applyFont="1" applyFill="1" applyAlignment="1">
      <alignment vertical="center"/>
    </xf>
    <xf numFmtId="0" fontId="11" fillId="0" borderId="26" xfId="0" applyFont="1" applyBorder="1" applyAlignment="1">
      <alignment vertical="center"/>
    </xf>
    <xf numFmtId="0" fontId="11" fillId="0" borderId="33" xfId="0" applyFont="1" applyBorder="1" applyAlignment="1">
      <alignment vertical="center"/>
    </xf>
    <xf numFmtId="2" fontId="11" fillId="0" borderId="33" xfId="0" applyNumberFormat="1" applyFont="1" applyBorder="1" applyAlignment="1">
      <alignment vertical="center"/>
    </xf>
    <xf numFmtId="41" fontId="11" fillId="0" borderId="33" xfId="2422" applyFont="1" applyFill="1" applyBorder="1" applyAlignment="1">
      <alignment vertical="center"/>
    </xf>
    <xf numFmtId="0" fontId="11" fillId="0" borderId="37" xfId="0" quotePrefix="1" applyFont="1" applyBorder="1" applyAlignment="1">
      <alignment horizontal="left" vertical="center"/>
    </xf>
    <xf numFmtId="2" fontId="11" fillId="0" borderId="37" xfId="0" applyNumberFormat="1" applyFont="1" applyBorder="1" applyAlignment="1">
      <alignment horizontal="left" vertical="center"/>
    </xf>
    <xf numFmtId="41" fontId="11" fillId="0" borderId="33" xfId="2422" quotePrefix="1" applyFont="1" applyFill="1" applyBorder="1" applyAlignment="1">
      <alignment horizontal="left" vertical="center"/>
    </xf>
    <xf numFmtId="0" fontId="11" fillId="0" borderId="33" xfId="0" quotePrefix="1" applyFont="1" applyBorder="1" applyAlignment="1">
      <alignment horizontal="left" vertical="center"/>
    </xf>
    <xf numFmtId="1" fontId="11" fillId="0" borderId="33" xfId="0" applyNumberFormat="1" applyFont="1" applyBorder="1" applyAlignment="1">
      <alignment vertical="center"/>
    </xf>
    <xf numFmtId="2" fontId="11" fillId="0" borderId="33" xfId="0" quotePrefix="1" applyNumberFormat="1" applyFont="1" applyBorder="1" applyAlignment="1">
      <alignment horizontal="left" vertical="center"/>
    </xf>
    <xf numFmtId="0" fontId="11" fillId="0" borderId="33" xfId="0" quotePrefix="1" applyFont="1" applyBorder="1" applyAlignment="1">
      <alignment horizontal="right" vertical="center"/>
    </xf>
    <xf numFmtId="0" fontId="11" fillId="0" borderId="37" xfId="0" applyFont="1" applyBorder="1" applyAlignment="1">
      <alignment horizontal="centerContinuous" vertical="center"/>
    </xf>
    <xf numFmtId="2" fontId="11" fillId="0" borderId="37" xfId="0" applyNumberFormat="1" applyFont="1" applyBorder="1" applyAlignment="1">
      <alignment horizontal="centerContinuous" vertical="center"/>
    </xf>
    <xf numFmtId="0" fontId="11" fillId="0" borderId="37" xfId="0" applyFont="1" applyBorder="1" applyAlignment="1">
      <alignment horizontal="right" vertical="center"/>
    </xf>
    <xf numFmtId="2" fontId="11" fillId="0" borderId="33" xfId="0" applyNumberFormat="1" applyFont="1" applyBorder="1" applyAlignment="1">
      <alignment horizontal="left" vertical="center"/>
    </xf>
    <xf numFmtId="2" fontId="11" fillId="0" borderId="33" xfId="2422" applyNumberFormat="1" applyFont="1" applyFill="1" applyBorder="1" applyAlignment="1">
      <alignment vertical="center"/>
    </xf>
    <xf numFmtId="0" fontId="11" fillId="0" borderId="2" xfId="0" applyFont="1" applyBorder="1" applyAlignment="1">
      <alignment vertical="center"/>
    </xf>
    <xf numFmtId="41" fontId="11" fillId="0" borderId="2" xfId="2422" applyFont="1" applyBorder="1" applyAlignment="1">
      <alignment vertical="center"/>
    </xf>
    <xf numFmtId="176" fontId="11" fillId="0" borderId="2" xfId="2422" applyNumberFormat="1" applyFont="1" applyBorder="1" applyAlignment="1">
      <alignment vertical="center"/>
    </xf>
    <xf numFmtId="0" fontId="11" fillId="0" borderId="2" xfId="0" quotePrefix="1" applyFont="1" applyBorder="1" applyAlignment="1">
      <alignment horizontal="left" vertical="center"/>
    </xf>
    <xf numFmtId="176" fontId="11" fillId="0" borderId="2" xfId="2422" applyNumberFormat="1" applyFont="1" applyFill="1" applyBorder="1" applyAlignment="1">
      <alignment vertical="center"/>
    </xf>
    <xf numFmtId="41" fontId="11" fillId="0" borderId="2" xfId="2422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176" fontId="11" fillId="0" borderId="0" xfId="2422" applyNumberFormat="1" applyFont="1" applyBorder="1" applyAlignment="1">
      <alignment vertical="center"/>
    </xf>
    <xf numFmtId="41" fontId="11" fillId="0" borderId="0" xfId="2422" applyFont="1" applyBorder="1" applyAlignment="1">
      <alignment horizontal="center" vertical="center"/>
    </xf>
    <xf numFmtId="41" fontId="11" fillId="0" borderId="0" xfId="2422" applyFont="1" applyAlignment="1">
      <alignment vertical="center"/>
    </xf>
    <xf numFmtId="41" fontId="9" fillId="0" borderId="0" xfId="2422" applyFont="1" applyFill="1" applyBorder="1" applyAlignment="1">
      <alignment horizontal="centerContinuous" vertical="center"/>
    </xf>
    <xf numFmtId="187" fontId="9" fillId="0" borderId="9" xfId="2422" applyNumberFormat="1" applyFont="1" applyFill="1" applyBorder="1" applyAlignment="1">
      <alignment vertical="center"/>
    </xf>
    <xf numFmtId="41" fontId="9" fillId="0" borderId="9" xfId="2422" applyFont="1" applyFill="1" applyBorder="1" applyAlignment="1">
      <alignment vertical="center"/>
    </xf>
    <xf numFmtId="187" fontId="9" fillId="0" borderId="9" xfId="2422" applyNumberFormat="1" applyFont="1" applyFill="1" applyBorder="1" applyAlignment="1">
      <alignment horizontal="center" vertical="center"/>
    </xf>
    <xf numFmtId="41" fontId="9" fillId="0" borderId="15" xfId="2422" applyFont="1" applyFill="1" applyBorder="1" applyAlignment="1">
      <alignment vertical="center"/>
    </xf>
    <xf numFmtId="38" fontId="9" fillId="0" borderId="2" xfId="2422" applyNumberFormat="1" applyFont="1" applyFill="1" applyBorder="1" applyAlignment="1">
      <alignment vertical="center"/>
    </xf>
    <xf numFmtId="41" fontId="9" fillId="0" borderId="0" xfId="2422" applyFont="1" applyFill="1" applyBorder="1" applyAlignment="1">
      <alignment vertical="center"/>
    </xf>
    <xf numFmtId="0" fontId="9" fillId="0" borderId="2" xfId="0" quotePrefix="1" applyFont="1" applyBorder="1" applyAlignment="1">
      <alignment horizontal="left" vertical="center"/>
    </xf>
    <xf numFmtId="49" fontId="9" fillId="0" borderId="2" xfId="0" applyNumberFormat="1" applyFont="1" applyBorder="1" applyAlignment="1">
      <alignment horizontal="left" vertical="center"/>
    </xf>
    <xf numFmtId="188" fontId="9" fillId="0" borderId="2" xfId="2422" applyNumberFormat="1" applyFont="1" applyFill="1" applyBorder="1" applyAlignment="1">
      <alignment horizontal="left" vertical="center"/>
    </xf>
    <xf numFmtId="188" fontId="9" fillId="0" borderId="2" xfId="2422" applyNumberFormat="1" applyFont="1" applyFill="1" applyBorder="1" applyAlignment="1">
      <alignment vertical="center"/>
    </xf>
    <xf numFmtId="38" fontId="9" fillId="0" borderId="0" xfId="0" applyNumberFormat="1" applyFont="1" applyAlignment="1">
      <alignment vertical="center"/>
    </xf>
    <xf numFmtId="177" fontId="9" fillId="0" borderId="2" xfId="0" applyNumberFormat="1" applyFont="1" applyBorder="1" applyAlignment="1">
      <alignment horizontal="right" vertical="center"/>
    </xf>
    <xf numFmtId="41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Continuous" vertical="center" shrinkToFit="1"/>
    </xf>
    <xf numFmtId="0" fontId="9" fillId="0" borderId="9" xfId="0" applyFont="1" applyBorder="1" applyAlignment="1">
      <alignment vertical="center" shrinkToFit="1"/>
    </xf>
    <xf numFmtId="187" fontId="9" fillId="0" borderId="9" xfId="2422" applyNumberFormat="1" applyFont="1" applyBorder="1" applyAlignment="1">
      <alignment horizontal="left" vertical="center"/>
    </xf>
    <xf numFmtId="41" fontId="9" fillId="0" borderId="9" xfId="2422" applyFont="1" applyBorder="1" applyAlignment="1">
      <alignment vertical="center"/>
    </xf>
    <xf numFmtId="41" fontId="9" fillId="0" borderId="15" xfId="2422" applyFont="1" applyBorder="1" applyAlignment="1">
      <alignment vertical="center"/>
    </xf>
    <xf numFmtId="0" fontId="9" fillId="0" borderId="44" xfId="0" applyFont="1" applyBorder="1" applyAlignment="1">
      <alignment vertical="center" shrinkToFit="1"/>
    </xf>
    <xf numFmtId="0" fontId="9" fillId="0" borderId="44" xfId="0" applyFont="1" applyBorder="1" applyAlignment="1">
      <alignment horizontal="center" vertical="center"/>
    </xf>
    <xf numFmtId="38" fontId="9" fillId="0" borderId="44" xfId="2422" applyNumberFormat="1" applyFont="1" applyBorder="1" applyAlignment="1">
      <alignment vertical="center"/>
    </xf>
    <xf numFmtId="38" fontId="9" fillId="0" borderId="45" xfId="2422" applyNumberFormat="1" applyFont="1" applyBorder="1" applyAlignment="1">
      <alignment vertical="center"/>
    </xf>
    <xf numFmtId="0" fontId="9" fillId="0" borderId="19" xfId="0" applyFont="1" applyBorder="1" applyAlignment="1">
      <alignment vertical="center" shrinkToFit="1"/>
    </xf>
    <xf numFmtId="0" fontId="9" fillId="0" borderId="19" xfId="0" applyFont="1" applyBorder="1" applyAlignment="1">
      <alignment horizontal="center" vertical="center"/>
    </xf>
    <xf numFmtId="38" fontId="9" fillId="0" borderId="19" xfId="2422" applyNumberFormat="1" applyFont="1" applyBorder="1" applyAlignment="1">
      <alignment vertical="center"/>
    </xf>
    <xf numFmtId="38" fontId="9" fillId="0" borderId="46" xfId="2422" applyNumberFormat="1" applyFont="1" applyBorder="1" applyAlignment="1">
      <alignment vertical="center"/>
    </xf>
    <xf numFmtId="0" fontId="9" fillId="0" borderId="0" xfId="0" applyFont="1" applyAlignment="1">
      <alignment vertical="center" shrinkToFit="1"/>
    </xf>
    <xf numFmtId="38" fontId="9" fillId="0" borderId="0" xfId="2422" applyNumberFormat="1" applyFont="1" applyBorder="1" applyAlignment="1">
      <alignment vertical="center"/>
    </xf>
    <xf numFmtId="38" fontId="9" fillId="0" borderId="35" xfId="2422" applyNumberFormat="1" applyFont="1" applyBorder="1" applyAlignment="1">
      <alignment vertical="center"/>
    </xf>
    <xf numFmtId="38" fontId="9" fillId="0" borderId="19" xfId="2422" applyNumberFormat="1" applyFont="1" applyFill="1" applyBorder="1" applyAlignment="1">
      <alignment vertical="center"/>
    </xf>
    <xf numFmtId="0" fontId="9" fillId="0" borderId="20" xfId="0" applyFont="1" applyBorder="1" applyAlignment="1">
      <alignment vertical="center" shrinkToFit="1"/>
    </xf>
    <xf numFmtId="38" fontId="9" fillId="0" borderId="20" xfId="2422" applyNumberFormat="1" applyFont="1" applyBorder="1" applyAlignment="1">
      <alignment vertical="center"/>
    </xf>
    <xf numFmtId="38" fontId="9" fillId="0" borderId="50" xfId="2422" applyNumberFormat="1" applyFont="1" applyBorder="1" applyAlignment="1">
      <alignment vertical="center"/>
    </xf>
    <xf numFmtId="0" fontId="9" fillId="0" borderId="19" xfId="0" quotePrefix="1" applyFont="1" applyBorder="1" applyAlignment="1">
      <alignment vertical="center" shrinkToFit="1"/>
    </xf>
    <xf numFmtId="38" fontId="9" fillId="0" borderId="46" xfId="2422" applyNumberFormat="1" applyFont="1" applyFill="1" applyBorder="1" applyAlignment="1">
      <alignment vertical="center"/>
    </xf>
    <xf numFmtId="0" fontId="9" fillId="0" borderId="19" xfId="0" applyFont="1" applyBorder="1" applyAlignment="1">
      <alignment horizontal="left" vertical="center" shrinkToFit="1"/>
    </xf>
    <xf numFmtId="177" fontId="9" fillId="0" borderId="19" xfId="2422" applyNumberFormat="1" applyFont="1" applyFill="1" applyBorder="1" applyAlignment="1">
      <alignment vertical="center"/>
    </xf>
    <xf numFmtId="177" fontId="9" fillId="0" borderId="46" xfId="2422" applyNumberFormat="1" applyFont="1" applyFill="1" applyBorder="1" applyAlignment="1">
      <alignment vertical="center"/>
    </xf>
    <xf numFmtId="0" fontId="9" fillId="0" borderId="71" xfId="0" applyFont="1" applyBorder="1" applyAlignment="1">
      <alignment vertical="center"/>
    </xf>
    <xf numFmtId="0" fontId="9" fillId="0" borderId="72" xfId="0" applyFont="1" applyBorder="1" applyAlignment="1">
      <alignment horizontal="left" vertical="center" shrinkToFit="1"/>
    </xf>
    <xf numFmtId="0" fontId="9" fillId="0" borderId="72" xfId="0" applyFont="1" applyBorder="1" applyAlignment="1">
      <alignment vertical="center"/>
    </xf>
    <xf numFmtId="0" fontId="9" fillId="0" borderId="72" xfId="0" applyFont="1" applyBorder="1" applyAlignment="1">
      <alignment horizontal="center" vertical="center"/>
    </xf>
    <xf numFmtId="177" fontId="9" fillId="0" borderId="72" xfId="2422" applyNumberFormat="1" applyFont="1" applyFill="1" applyBorder="1" applyAlignment="1">
      <alignment vertical="center"/>
    </xf>
    <xf numFmtId="177" fontId="9" fillId="0" borderId="73" xfId="2422" applyNumberFormat="1" applyFont="1" applyFill="1" applyBorder="1" applyAlignment="1">
      <alignment vertical="center"/>
    </xf>
    <xf numFmtId="0" fontId="9" fillId="0" borderId="9" xfId="0" applyFont="1" applyBorder="1"/>
    <xf numFmtId="188" fontId="9" fillId="0" borderId="9" xfId="2422" applyNumberFormat="1" applyFont="1" applyBorder="1" applyAlignment="1">
      <alignment vertical="center"/>
    </xf>
    <xf numFmtId="188" fontId="9" fillId="0" borderId="15" xfId="2422" applyNumberFormat="1" applyFont="1" applyBorder="1" applyAlignment="1">
      <alignment vertical="center"/>
    </xf>
    <xf numFmtId="0" fontId="9" fillId="0" borderId="74" xfId="0" applyFont="1" applyBorder="1" applyAlignment="1">
      <alignment vertical="center"/>
    </xf>
    <xf numFmtId="0" fontId="9" fillId="0" borderId="75" xfId="0" applyFont="1" applyBorder="1" applyAlignment="1">
      <alignment vertical="center" shrinkToFit="1"/>
    </xf>
    <xf numFmtId="0" fontId="9" fillId="0" borderId="75" xfId="0" applyFont="1" applyBorder="1" applyAlignment="1">
      <alignment vertical="center"/>
    </xf>
    <xf numFmtId="0" fontId="9" fillId="0" borderId="75" xfId="0" applyFont="1" applyBorder="1" applyAlignment="1">
      <alignment horizontal="center" vertical="center"/>
    </xf>
    <xf numFmtId="188" fontId="9" fillId="0" borderId="75" xfId="2422" applyNumberFormat="1" applyFont="1" applyBorder="1" applyAlignment="1">
      <alignment vertical="center"/>
    </xf>
    <xf numFmtId="188" fontId="9" fillId="0" borderId="76" xfId="2422" applyNumberFormat="1" applyFont="1" applyBorder="1" applyAlignment="1">
      <alignment vertical="center"/>
    </xf>
    <xf numFmtId="0" fontId="9" fillId="0" borderId="77" xfId="0" applyFont="1" applyBorder="1" applyAlignment="1">
      <alignment vertical="center"/>
    </xf>
    <xf numFmtId="0" fontId="9" fillId="0" borderId="78" xfId="0" applyFont="1" applyBorder="1" applyAlignment="1">
      <alignment vertical="center" shrinkToFit="1"/>
    </xf>
    <xf numFmtId="0" fontId="9" fillId="0" borderId="78" xfId="0" applyFont="1" applyBorder="1" applyAlignment="1">
      <alignment vertical="center"/>
    </xf>
    <xf numFmtId="0" fontId="9" fillId="0" borderId="78" xfId="0" applyFont="1" applyBorder="1" applyAlignment="1">
      <alignment horizontal="center" vertical="center"/>
    </xf>
    <xf numFmtId="188" fontId="9" fillId="0" borderId="78" xfId="2422" applyNumberFormat="1" applyFont="1" applyBorder="1" applyAlignment="1">
      <alignment vertical="center"/>
    </xf>
    <xf numFmtId="188" fontId="9" fillId="0" borderId="79" xfId="2422" applyNumberFormat="1" applyFont="1" applyBorder="1" applyAlignment="1">
      <alignment vertical="center"/>
    </xf>
    <xf numFmtId="0" fontId="9" fillId="0" borderId="80" xfId="0" applyFont="1" applyBorder="1" applyAlignment="1">
      <alignment vertical="center"/>
    </xf>
    <xf numFmtId="0" fontId="9" fillId="0" borderId="81" xfId="0" applyFont="1" applyBorder="1" applyAlignment="1">
      <alignment vertical="center" shrinkToFit="1"/>
    </xf>
    <xf numFmtId="0" fontId="9" fillId="0" borderId="81" xfId="0" applyFont="1" applyBorder="1" applyAlignment="1">
      <alignment vertical="center"/>
    </xf>
    <xf numFmtId="0" fontId="9" fillId="0" borderId="81" xfId="0" applyFont="1" applyBorder="1" applyAlignment="1">
      <alignment horizontal="center" vertical="center"/>
    </xf>
    <xf numFmtId="188" fontId="9" fillId="0" borderId="81" xfId="2422" applyNumberFormat="1" applyFont="1" applyBorder="1" applyAlignment="1">
      <alignment vertical="center"/>
    </xf>
    <xf numFmtId="188" fontId="9" fillId="0" borderId="82" xfId="2422" applyNumberFormat="1" applyFont="1" applyBorder="1" applyAlignment="1">
      <alignment vertical="center"/>
    </xf>
    <xf numFmtId="188" fontId="9" fillId="0" borderId="0" xfId="2422" applyNumberFormat="1" applyFont="1" applyBorder="1" applyAlignment="1">
      <alignment vertical="center"/>
    </xf>
    <xf numFmtId="188" fontId="9" fillId="0" borderId="35" xfId="2422" applyNumberFormat="1" applyFont="1" applyBorder="1" applyAlignment="1">
      <alignment vertical="center"/>
    </xf>
    <xf numFmtId="0" fontId="9" fillId="0" borderId="83" xfId="0" applyFont="1" applyBorder="1" applyAlignment="1">
      <alignment vertical="center"/>
    </xf>
    <xf numFmtId="0" fontId="9" fillId="0" borderId="84" xfId="0" applyFont="1" applyBorder="1" applyAlignment="1">
      <alignment vertical="center" shrinkToFit="1"/>
    </xf>
    <xf numFmtId="0" fontId="9" fillId="0" borderId="84" xfId="0" applyFont="1" applyBorder="1" applyAlignment="1">
      <alignment vertical="center"/>
    </xf>
    <xf numFmtId="0" fontId="9" fillId="0" borderId="84" xfId="0" applyFont="1" applyBorder="1" applyAlignment="1">
      <alignment horizontal="center" vertical="center"/>
    </xf>
    <xf numFmtId="188" fontId="9" fillId="0" borderId="84" xfId="2422" applyNumberFormat="1" applyFont="1" applyBorder="1" applyAlignment="1">
      <alignment vertical="center"/>
    </xf>
    <xf numFmtId="188" fontId="9" fillId="0" borderId="85" xfId="2422" applyNumberFormat="1" applyFont="1" applyBorder="1" applyAlignment="1">
      <alignment vertical="center"/>
    </xf>
    <xf numFmtId="188" fontId="9" fillId="0" borderId="44" xfId="2422" applyNumberFormat="1" applyFont="1" applyBorder="1" applyAlignment="1">
      <alignment vertical="center"/>
    </xf>
    <xf numFmtId="188" fontId="9" fillId="0" borderId="45" xfId="2422" applyNumberFormat="1" applyFont="1" applyBorder="1" applyAlignment="1">
      <alignment vertical="center"/>
    </xf>
    <xf numFmtId="188" fontId="9" fillId="0" borderId="19" xfId="2422" applyNumberFormat="1" applyFont="1" applyBorder="1" applyAlignment="1">
      <alignment vertical="center"/>
    </xf>
    <xf numFmtId="188" fontId="9" fillId="0" borderId="46" xfId="2422" applyNumberFormat="1" applyFont="1" applyBorder="1" applyAlignment="1">
      <alignment vertical="center"/>
    </xf>
    <xf numFmtId="0" fontId="53" fillId="0" borderId="0" xfId="2514" applyFont="1" applyAlignment="1">
      <alignment vertical="center"/>
    </xf>
    <xf numFmtId="37" fontId="53" fillId="0" borderId="0" xfId="2514" applyNumberFormat="1" applyFont="1" applyAlignment="1">
      <alignment vertical="center"/>
    </xf>
    <xf numFmtId="0" fontId="53" fillId="0" borderId="9" xfId="2514" applyFont="1" applyBorder="1" applyAlignment="1">
      <alignment vertical="center"/>
    </xf>
    <xf numFmtId="0" fontId="9" fillId="31" borderId="2" xfId="0" applyFont="1" applyFill="1" applyBorder="1" applyAlignment="1">
      <alignment horizontal="center" vertical="center"/>
    </xf>
    <xf numFmtId="0" fontId="9" fillId="31" borderId="53" xfId="0" applyFont="1" applyFill="1" applyBorder="1" applyAlignment="1">
      <alignment horizontal="center" vertical="center"/>
    </xf>
    <xf numFmtId="41" fontId="9" fillId="31" borderId="53" xfId="2422" applyFont="1" applyFill="1" applyBorder="1" applyAlignment="1">
      <alignment horizontal="center" vertical="center"/>
    </xf>
    <xf numFmtId="0" fontId="9" fillId="31" borderId="10" xfId="0" applyFont="1" applyFill="1" applyBorder="1" applyAlignment="1">
      <alignment horizontal="center" vertical="center"/>
    </xf>
    <xf numFmtId="41" fontId="9" fillId="31" borderId="10" xfId="2422" applyFont="1" applyFill="1" applyBorder="1" applyAlignment="1">
      <alignment horizontal="center" vertical="center"/>
    </xf>
    <xf numFmtId="41" fontId="9" fillId="31" borderId="2" xfId="0" applyNumberFormat="1" applyFont="1" applyFill="1" applyBorder="1" applyAlignment="1">
      <alignment horizontal="center" vertical="center"/>
    </xf>
    <xf numFmtId="176" fontId="9" fillId="0" borderId="34" xfId="2422" applyNumberFormat="1" applyFont="1" applyBorder="1" applyAlignment="1" applyProtection="1">
      <alignment vertical="center"/>
    </xf>
    <xf numFmtId="176" fontId="9" fillId="0" borderId="34" xfId="2422" applyNumberFormat="1" applyFont="1" applyBorder="1" applyAlignment="1">
      <alignment vertical="center"/>
    </xf>
    <xf numFmtId="176" fontId="9" fillId="0" borderId="34" xfId="0" applyNumberFormat="1" applyFont="1" applyBorder="1" applyAlignment="1">
      <alignment vertical="center"/>
    </xf>
    <xf numFmtId="0" fontId="9" fillId="0" borderId="0" xfId="0" applyFont="1" applyAlignment="1" applyProtection="1">
      <alignment horizontal="center" vertical="center"/>
      <protection locked="0"/>
    </xf>
    <xf numFmtId="2" fontId="9" fillId="0" borderId="0" xfId="0" applyNumberFormat="1" applyFont="1" applyAlignment="1" applyProtection="1">
      <alignment horizontal="center" vertical="center"/>
      <protection locked="0"/>
    </xf>
    <xf numFmtId="2" fontId="9" fillId="0" borderId="0" xfId="0" applyNumberFormat="1" applyFont="1" applyAlignment="1">
      <alignment horizontal="center" vertical="center"/>
    </xf>
    <xf numFmtId="0" fontId="9" fillId="0" borderId="0" xfId="0" applyFont="1" applyAlignment="1" applyProtection="1">
      <alignment vertical="center"/>
      <protection locked="0"/>
    </xf>
    <xf numFmtId="2" fontId="9" fillId="0" borderId="0" xfId="0" applyNumberFormat="1" applyFont="1" applyAlignment="1" applyProtection="1">
      <alignment vertical="center"/>
      <protection locked="0"/>
    </xf>
    <xf numFmtId="0" fontId="9" fillId="0" borderId="0" xfId="2510" applyFont="1" applyAlignment="1">
      <alignment vertical="center"/>
    </xf>
    <xf numFmtId="0" fontId="9" fillId="0" borderId="0" xfId="2510" applyFont="1" applyAlignment="1">
      <alignment vertical="center" shrinkToFit="1"/>
    </xf>
    <xf numFmtId="0" fontId="9" fillId="0" borderId="54" xfId="2520" applyFont="1" applyBorder="1" applyAlignment="1">
      <alignment horizontal="center" vertical="center" shrinkToFit="1"/>
    </xf>
    <xf numFmtId="0" fontId="9" fillId="0" borderId="10" xfId="2511" applyBorder="1" applyAlignment="1">
      <alignment horizontal="center" vertical="center" shrinkToFit="1"/>
    </xf>
    <xf numFmtId="0" fontId="12" fillId="0" borderId="0" xfId="2510" applyFont="1" applyAlignment="1">
      <alignment vertical="center"/>
    </xf>
    <xf numFmtId="41" fontId="12" fillId="0" borderId="0" xfId="2430" applyFont="1" applyFill="1" applyAlignment="1">
      <alignment vertical="center"/>
    </xf>
    <xf numFmtId="0" fontId="12" fillId="0" borderId="0" xfId="2516" applyFont="1" applyAlignment="1">
      <alignment vertical="center"/>
    </xf>
    <xf numFmtId="10" fontId="12" fillId="0" borderId="0" xfId="2516" applyNumberFormat="1" applyFont="1" applyAlignment="1">
      <alignment vertical="center"/>
    </xf>
    <xf numFmtId="0" fontId="49" fillId="0" borderId="0" xfId="0" applyFont="1" applyAlignment="1">
      <alignment horizontal="center" vertical="center"/>
    </xf>
    <xf numFmtId="0" fontId="89" fillId="0" borderId="0" xfId="2513" applyFont="1" applyAlignment="1">
      <alignment vertical="center"/>
    </xf>
    <xf numFmtId="0" fontId="89" fillId="0" borderId="0" xfId="2513" applyFont="1" applyAlignment="1">
      <alignment horizontal="center" vertical="center"/>
    </xf>
    <xf numFmtId="0" fontId="89" fillId="0" borderId="0" xfId="2518" applyFont="1" applyAlignment="1">
      <alignment horizontal="center" vertical="center" shrinkToFit="1"/>
    </xf>
    <xf numFmtId="177" fontId="89" fillId="0" borderId="0" xfId="2513" applyNumberFormat="1" applyFont="1" applyAlignment="1">
      <alignment horizontal="right" vertical="center"/>
    </xf>
    <xf numFmtId="188" fontId="89" fillId="0" borderId="0" xfId="2518" applyNumberFormat="1" applyFont="1" applyAlignment="1">
      <alignment horizontal="center" vertical="center" shrinkToFit="1"/>
    </xf>
    <xf numFmtId="0" fontId="89" fillId="0" borderId="0" xfId="2517" applyFont="1" applyAlignment="1">
      <alignment vertical="center" shrinkToFit="1"/>
    </xf>
    <xf numFmtId="0" fontId="88" fillId="0" borderId="0" xfId="2519" applyFont="1"/>
    <xf numFmtId="0" fontId="88" fillId="0" borderId="0" xfId="0" applyFont="1" applyAlignment="1">
      <alignment vertical="center"/>
    </xf>
    <xf numFmtId="41" fontId="90" fillId="0" borderId="2" xfId="2422" applyFont="1" applyFill="1" applyBorder="1" applyAlignment="1">
      <alignment vertical="center"/>
    </xf>
    <xf numFmtId="41" fontId="90" fillId="0" borderId="2" xfId="2422" applyFont="1" applyBorder="1" applyAlignment="1">
      <alignment vertical="center"/>
    </xf>
    <xf numFmtId="38" fontId="9" fillId="0" borderId="2" xfId="0" applyNumberFormat="1" applyFont="1" applyBorder="1" applyAlignment="1">
      <alignment vertical="center"/>
    </xf>
    <xf numFmtId="0" fontId="91" fillId="0" borderId="37" xfId="0" applyFont="1" applyBorder="1" applyAlignment="1">
      <alignment horizontal="center" vertical="center"/>
    </xf>
    <xf numFmtId="0" fontId="92" fillId="0" borderId="0" xfId="0" applyFont="1" applyAlignment="1">
      <alignment horizontal="center" vertical="center"/>
    </xf>
    <xf numFmtId="186" fontId="9" fillId="0" borderId="19" xfId="0" quotePrefix="1" applyNumberFormat="1" applyFont="1" applyBorder="1" applyAlignment="1">
      <alignment vertical="center" shrinkToFit="1"/>
    </xf>
    <xf numFmtId="9" fontId="9" fillId="0" borderId="19" xfId="0" applyNumberFormat="1" applyFont="1" applyBorder="1" applyAlignment="1">
      <alignment horizontal="center" vertical="center"/>
    </xf>
    <xf numFmtId="41" fontId="9" fillId="31" borderId="2" xfId="2422" applyFont="1" applyFill="1" applyBorder="1" applyAlignment="1">
      <alignment horizontal="center" vertical="center"/>
    </xf>
    <xf numFmtId="9" fontId="9" fillId="0" borderId="19" xfId="0" applyNumberFormat="1" applyFont="1" applyBorder="1" applyAlignment="1">
      <alignment vertical="center"/>
    </xf>
    <xf numFmtId="0" fontId="12" fillId="0" borderId="0" xfId="2516" applyFont="1" applyAlignment="1">
      <alignment horizontal="right" vertical="center"/>
    </xf>
    <xf numFmtId="238" fontId="12" fillId="0" borderId="0" xfId="2516" applyNumberFormat="1" applyFont="1" applyAlignment="1">
      <alignment horizontal="right" vertical="center"/>
    </xf>
    <xf numFmtId="188" fontId="12" fillId="0" borderId="0" xfId="2517" applyNumberFormat="1" applyFont="1" applyAlignment="1">
      <alignment horizontal="center" vertical="center" shrinkToFit="1"/>
    </xf>
    <xf numFmtId="41" fontId="9" fillId="0" borderId="2" xfId="2422" applyFont="1" applyBorder="1" applyAlignment="1">
      <alignment horizontal="left" vertical="center"/>
    </xf>
    <xf numFmtId="176" fontId="9" fillId="0" borderId="2" xfId="2422" applyNumberFormat="1" applyFont="1" applyBorder="1" applyAlignment="1">
      <alignment vertical="center"/>
    </xf>
    <xf numFmtId="41" fontId="12" fillId="0" borderId="0" xfId="2516" applyNumberFormat="1" applyFont="1" applyAlignment="1">
      <alignment vertical="center"/>
    </xf>
    <xf numFmtId="0" fontId="88" fillId="0" borderId="0" xfId="0" applyFont="1"/>
    <xf numFmtId="0" fontId="96" fillId="0" borderId="0" xfId="0" applyFont="1" applyAlignment="1">
      <alignment horizontal="center" vertical="center"/>
    </xf>
    <xf numFmtId="0" fontId="93" fillId="0" borderId="0" xfId="0" applyFont="1" applyAlignment="1">
      <alignment vertical="center"/>
    </xf>
    <xf numFmtId="0" fontId="9" fillId="31" borderId="38" xfId="0" applyFont="1" applyFill="1" applyBorder="1" applyAlignment="1">
      <alignment horizontal="center" vertical="center"/>
    </xf>
    <xf numFmtId="0" fontId="9" fillId="31" borderId="39" xfId="0" applyFont="1" applyFill="1" applyBorder="1" applyAlignment="1">
      <alignment horizontal="center" vertical="center"/>
    </xf>
    <xf numFmtId="0" fontId="9" fillId="31" borderId="40" xfId="0" applyFont="1" applyFill="1" applyBorder="1" applyAlignment="1">
      <alignment horizontal="center" vertical="center"/>
    </xf>
    <xf numFmtId="0" fontId="88" fillId="0" borderId="89" xfId="0" applyFont="1" applyBorder="1"/>
    <xf numFmtId="0" fontId="88" fillId="0" borderId="90" xfId="0" applyFont="1" applyBorder="1"/>
    <xf numFmtId="0" fontId="98" fillId="0" borderId="0" xfId="0" applyFont="1" applyAlignment="1">
      <alignment vertical="center"/>
    </xf>
    <xf numFmtId="0" fontId="99" fillId="0" borderId="0" xfId="0" applyFont="1" applyAlignment="1">
      <alignment vertical="center"/>
    </xf>
    <xf numFmtId="0" fontId="99" fillId="0" borderId="0" xfId="0" applyFont="1" applyAlignment="1">
      <alignment horizontal="center" vertical="center"/>
    </xf>
    <xf numFmtId="0" fontId="97" fillId="0" borderId="0" xfId="0" applyFont="1" applyAlignment="1">
      <alignment vertical="center"/>
    </xf>
    <xf numFmtId="0" fontId="90" fillId="0" borderId="0" xfId="2513" applyFont="1" applyAlignment="1">
      <alignment horizontal="right" vertical="center"/>
    </xf>
    <xf numFmtId="238" fontId="90" fillId="0" borderId="0" xfId="2513" applyNumberFormat="1" applyFont="1" applyAlignment="1">
      <alignment horizontal="right" vertical="center"/>
    </xf>
    <xf numFmtId="41" fontId="90" fillId="0" borderId="2" xfId="2422" applyFont="1" applyBorder="1" applyAlignment="1">
      <alignment horizontal="center" vertical="center"/>
    </xf>
    <xf numFmtId="177" fontId="9" fillId="0" borderId="51" xfId="2422" applyNumberFormat="1" applyFont="1" applyFill="1" applyBorder="1" applyAlignment="1">
      <alignment vertical="center"/>
    </xf>
    <xf numFmtId="0" fontId="9" fillId="0" borderId="91" xfId="0" applyFont="1" applyBorder="1" applyAlignment="1">
      <alignment vertical="center"/>
    </xf>
    <xf numFmtId="41" fontId="100" fillId="0" borderId="0" xfId="2422" applyFont="1" applyBorder="1" applyAlignment="1" applyProtection="1">
      <alignment horizontal="left" vertical="center"/>
    </xf>
    <xf numFmtId="41" fontId="90" fillId="0" borderId="0" xfId="2422" applyFont="1" applyAlignment="1">
      <alignment vertical="center"/>
    </xf>
    <xf numFmtId="41" fontId="90" fillId="0" borderId="2" xfId="2422" applyFont="1" applyBorder="1" applyAlignment="1" applyProtection="1">
      <alignment vertical="center"/>
    </xf>
    <xf numFmtId="41" fontId="90" fillId="0" borderId="2" xfId="2422" applyFont="1" applyBorder="1" applyAlignment="1" applyProtection="1">
      <alignment horizontal="left" vertical="center"/>
    </xf>
    <xf numFmtId="41" fontId="90" fillId="0" borderId="2" xfId="2422" applyFont="1" applyBorder="1" applyAlignment="1" applyProtection="1">
      <alignment horizontal="center" vertical="center"/>
    </xf>
    <xf numFmtId="41" fontId="90" fillId="0" borderId="2" xfId="2422" applyFont="1" applyBorder="1" applyAlignment="1" applyProtection="1">
      <alignment vertical="center"/>
      <protection locked="0"/>
    </xf>
    <xf numFmtId="41" fontId="90" fillId="0" borderId="2" xfId="2422" applyFont="1" applyFill="1" applyBorder="1" applyAlignment="1" applyProtection="1">
      <alignment vertical="center"/>
      <protection locked="0"/>
    </xf>
    <xf numFmtId="41" fontId="90" fillId="0" borderId="2" xfId="2422" applyFont="1" applyFill="1" applyBorder="1" applyAlignment="1" applyProtection="1">
      <alignment vertical="center"/>
    </xf>
    <xf numFmtId="41" fontId="90" fillId="0" borderId="2" xfId="2422" applyFont="1" applyFill="1" applyBorder="1" applyAlignment="1">
      <alignment horizontal="left" vertical="center"/>
    </xf>
    <xf numFmtId="41" fontId="90" fillId="0" borderId="0" xfId="2422" applyFont="1" applyFill="1" applyAlignment="1">
      <alignment vertical="center"/>
    </xf>
    <xf numFmtId="41" fontId="90" fillId="0" borderId="2" xfId="2422" applyFont="1" applyBorder="1" applyAlignment="1">
      <alignment horizontal="left" vertical="center"/>
    </xf>
    <xf numFmtId="41" fontId="90" fillId="0" borderId="2" xfId="2422" applyFont="1" applyFill="1" applyBorder="1" applyAlignment="1" applyProtection="1">
      <alignment horizontal="left" vertical="center"/>
    </xf>
    <xf numFmtId="41" fontId="90" fillId="0" borderId="0" xfId="2422" applyFont="1" applyAlignment="1">
      <alignment horizontal="left" vertical="center"/>
    </xf>
    <xf numFmtId="41" fontId="90" fillId="0" borderId="0" xfId="2422" applyFont="1" applyAlignment="1">
      <alignment horizontal="center" vertical="center"/>
    </xf>
    <xf numFmtId="41" fontId="90" fillId="0" borderId="0" xfId="2422" applyFont="1" applyAlignment="1" applyProtection="1">
      <alignment vertical="center"/>
    </xf>
    <xf numFmtId="41" fontId="101" fillId="0" borderId="0" xfId="2422" applyFont="1" applyAlignment="1" applyProtection="1">
      <alignment vertical="center"/>
    </xf>
    <xf numFmtId="41" fontId="9" fillId="0" borderId="2" xfId="2422" applyFont="1" applyBorder="1" applyAlignment="1" applyProtection="1">
      <alignment vertical="center"/>
    </xf>
    <xf numFmtId="0" fontId="7" fillId="0" borderId="37" xfId="0" applyFont="1" applyBorder="1" applyAlignment="1">
      <alignment vertical="center"/>
    </xf>
    <xf numFmtId="0" fontId="95" fillId="0" borderId="0" xfId="0" applyFont="1" applyAlignment="1">
      <alignment horizontal="left" vertical="center"/>
    </xf>
    <xf numFmtId="0" fontId="95" fillId="0" borderId="0" xfId="0" applyFont="1" applyAlignment="1">
      <alignment vertical="center"/>
    </xf>
    <xf numFmtId="183" fontId="49" fillId="0" borderId="2" xfId="2422" applyNumberFormat="1" applyFont="1" applyBorder="1" applyAlignment="1">
      <alignment vertical="center"/>
    </xf>
    <xf numFmtId="0" fontId="88" fillId="0" borderId="0" xfId="0" applyFont="1" applyAlignment="1">
      <alignment vertical="top"/>
    </xf>
    <xf numFmtId="0" fontId="88" fillId="0" borderId="0" xfId="0" applyFont="1" applyAlignment="1">
      <alignment horizontal="center" vertical="center"/>
    </xf>
    <xf numFmtId="0" fontId="103" fillId="0" borderId="0" xfId="0" applyFont="1" applyAlignment="1">
      <alignment horizontal="center" vertical="center"/>
    </xf>
    <xf numFmtId="0" fontId="93" fillId="0" borderId="0" xfId="0" applyFont="1" applyAlignment="1">
      <alignment horizontal="center" vertical="center"/>
    </xf>
    <xf numFmtId="0" fontId="88" fillId="0" borderId="0" xfId="0" applyFont="1" applyAlignment="1">
      <alignment horizontal="right" vertical="center"/>
    </xf>
    <xf numFmtId="41" fontId="88" fillId="0" borderId="2" xfId="2422" applyFont="1" applyBorder="1" applyAlignment="1">
      <alignment horizontal="center" vertical="center"/>
    </xf>
    <xf numFmtId="0" fontId="88" fillId="0" borderId="92" xfId="0" applyFont="1" applyBorder="1" applyAlignment="1">
      <alignment horizontal="center" vertical="center"/>
    </xf>
    <xf numFmtId="0" fontId="88" fillId="0" borderId="93" xfId="0" applyFont="1" applyBorder="1" applyAlignment="1">
      <alignment horizontal="center" vertical="center"/>
    </xf>
    <xf numFmtId="41" fontId="88" fillId="0" borderId="94" xfId="0" applyNumberFormat="1" applyFont="1" applyBorder="1" applyAlignment="1">
      <alignment horizontal="center" vertical="center"/>
    </xf>
    <xf numFmtId="0" fontId="88" fillId="0" borderId="95" xfId="0" applyFont="1" applyBorder="1" applyAlignment="1">
      <alignment horizontal="center" vertical="center"/>
    </xf>
    <xf numFmtId="41" fontId="88" fillId="0" borderId="53" xfId="0" applyNumberFormat="1" applyFont="1" applyBorder="1" applyAlignment="1">
      <alignment horizontal="center" vertical="center"/>
    </xf>
    <xf numFmtId="41" fontId="88" fillId="0" borderId="2" xfId="0" applyNumberFormat="1" applyFont="1" applyBorder="1" applyAlignment="1">
      <alignment horizontal="center" vertical="center"/>
    </xf>
    <xf numFmtId="0" fontId="88" fillId="0" borderId="32" xfId="0" applyFont="1" applyBorder="1" applyAlignment="1">
      <alignment horizontal="right" vertical="center"/>
    </xf>
    <xf numFmtId="176" fontId="88" fillId="0" borderId="9" xfId="2422" applyNumberFormat="1" applyFont="1" applyBorder="1" applyAlignment="1">
      <alignment horizontal="center" vertical="center"/>
    </xf>
    <xf numFmtId="0" fontId="88" fillId="0" borderId="96" xfId="0" applyFont="1" applyBorder="1" applyAlignment="1">
      <alignment horizontal="left" vertical="center"/>
    </xf>
    <xf numFmtId="0" fontId="88" fillId="0" borderId="97" xfId="0" applyFont="1" applyBorder="1" applyAlignment="1">
      <alignment horizontal="center" vertical="center"/>
    </xf>
    <xf numFmtId="41" fontId="88" fillId="0" borderId="10" xfId="0" applyNumberFormat="1" applyFont="1" applyBorder="1" applyAlignment="1">
      <alignment horizontal="center" vertical="center"/>
    </xf>
    <xf numFmtId="240" fontId="88" fillId="0" borderId="0" xfId="0" applyNumberFormat="1" applyFont="1" applyAlignment="1">
      <alignment horizontal="center" vertical="center"/>
    </xf>
    <xf numFmtId="2" fontId="88" fillId="0" borderId="0" xfId="0" applyNumberFormat="1" applyFont="1" applyAlignment="1">
      <alignment horizontal="center" vertical="center"/>
    </xf>
    <xf numFmtId="41" fontId="88" fillId="0" borderId="0" xfId="2422" applyFont="1" applyAlignment="1">
      <alignment horizontal="center" vertical="center"/>
    </xf>
    <xf numFmtId="41" fontId="88" fillId="0" borderId="0" xfId="0" applyNumberFormat="1" applyFont="1" applyAlignment="1">
      <alignment horizontal="center" vertical="center"/>
    </xf>
    <xf numFmtId="37" fontId="9" fillId="0" borderId="2" xfId="0" applyNumberFormat="1" applyFont="1" applyBorder="1" applyAlignment="1" applyProtection="1">
      <alignment vertical="center"/>
      <protection locked="0"/>
    </xf>
    <xf numFmtId="37" fontId="9" fillId="0" borderId="2" xfId="0" applyNumberFormat="1" applyFont="1" applyBorder="1" applyAlignment="1">
      <alignment vertical="center"/>
    </xf>
    <xf numFmtId="0" fontId="9" fillId="0" borderId="2" xfId="0" applyFont="1" applyBorder="1" applyAlignment="1" applyProtection="1">
      <alignment vertical="center"/>
      <protection locked="0"/>
    </xf>
    <xf numFmtId="37" fontId="9" fillId="0" borderId="2" xfId="0" applyNumberFormat="1" applyFont="1" applyBorder="1" applyAlignment="1" applyProtection="1">
      <alignment horizontal="right" vertical="center"/>
      <protection locked="0"/>
    </xf>
    <xf numFmtId="0" fontId="9" fillId="0" borderId="2" xfId="2422" applyNumberFormat="1" applyFont="1" applyFill="1" applyBorder="1" applyAlignment="1" applyProtection="1">
      <alignment horizontal="right" vertical="center"/>
      <protection locked="0"/>
    </xf>
    <xf numFmtId="3" fontId="9" fillId="0" borderId="2" xfId="0" applyNumberFormat="1" applyFont="1" applyBorder="1" applyAlignment="1">
      <alignment vertical="center"/>
    </xf>
    <xf numFmtId="0" fontId="104" fillId="0" borderId="0" xfId="0" applyFont="1"/>
    <xf numFmtId="3" fontId="12" fillId="0" borderId="10" xfId="2422" applyNumberFormat="1" applyFont="1" applyFill="1" applyBorder="1" applyAlignment="1">
      <alignment horizontal="right" vertical="center" shrinkToFit="1"/>
    </xf>
    <xf numFmtId="3" fontId="12" fillId="0" borderId="10" xfId="2516" applyNumberFormat="1" applyFont="1" applyBorder="1" applyAlignment="1">
      <alignment horizontal="right" vertical="center" shrinkToFit="1"/>
    </xf>
    <xf numFmtId="3" fontId="12" fillId="0" borderId="2" xfId="2422" applyNumberFormat="1" applyFont="1" applyBorder="1" applyAlignment="1">
      <alignment vertical="center"/>
    </xf>
    <xf numFmtId="3" fontId="12" fillId="0" borderId="2" xfId="2422" applyNumberFormat="1" applyFont="1" applyFill="1" applyBorder="1" applyAlignment="1">
      <alignment horizontal="right" vertical="center" shrinkToFit="1"/>
    </xf>
    <xf numFmtId="3" fontId="12" fillId="0" borderId="2" xfId="2516" applyNumberFormat="1" applyFont="1" applyBorder="1" applyAlignment="1">
      <alignment horizontal="right" vertical="center" shrinkToFit="1"/>
    </xf>
    <xf numFmtId="41" fontId="7" fillId="0" borderId="0" xfId="0" applyNumberFormat="1" applyFont="1" applyAlignment="1">
      <alignment vertical="center"/>
    </xf>
    <xf numFmtId="3" fontId="88" fillId="0" borderId="10" xfId="2518" applyNumberFormat="1" applyFont="1" applyBorder="1" applyAlignment="1">
      <alignment vertical="center" shrinkToFit="1"/>
    </xf>
    <xf numFmtId="3" fontId="88" fillId="0" borderId="10" xfId="2429" applyNumberFormat="1" applyFont="1" applyBorder="1" applyAlignment="1">
      <alignment vertical="center" shrinkToFit="1"/>
    </xf>
    <xf numFmtId="188" fontId="88" fillId="0" borderId="10" xfId="2518" applyNumberFormat="1" applyFont="1" applyBorder="1" applyAlignment="1">
      <alignment horizontal="center" vertical="center" shrinkToFit="1"/>
    </xf>
    <xf numFmtId="0" fontId="9" fillId="0" borderId="55" xfId="0" applyFont="1" applyBorder="1" applyAlignment="1">
      <alignment horizontal="left" vertical="center"/>
    </xf>
    <xf numFmtId="0" fontId="9" fillId="0" borderId="56" xfId="0" applyFont="1" applyBorder="1" applyAlignment="1">
      <alignment horizontal="left" vertical="center"/>
    </xf>
    <xf numFmtId="0" fontId="9" fillId="0" borderId="56" xfId="0" applyFont="1" applyBorder="1" applyAlignment="1">
      <alignment horizontal="center" vertical="center"/>
    </xf>
    <xf numFmtId="3" fontId="9" fillId="0" borderId="56" xfId="2422" applyNumberFormat="1" applyFont="1" applyFill="1" applyBorder="1" applyAlignment="1">
      <alignment vertical="center"/>
    </xf>
    <xf numFmtId="3" fontId="9" fillId="0" borderId="57" xfId="2422" applyNumberFormat="1" applyFont="1" applyFill="1" applyBorder="1" applyAlignment="1">
      <alignment vertical="center"/>
    </xf>
    <xf numFmtId="3" fontId="9" fillId="0" borderId="19" xfId="2422" applyNumberFormat="1" applyFont="1" applyFill="1" applyBorder="1" applyAlignment="1">
      <alignment vertical="center"/>
    </xf>
    <xf numFmtId="3" fontId="9" fillId="0" borderId="46" xfId="2422" applyNumberFormat="1" applyFont="1" applyFill="1" applyBorder="1" applyAlignment="1">
      <alignment vertical="center"/>
    </xf>
    <xf numFmtId="0" fontId="9" fillId="0" borderId="19" xfId="0" quotePrefix="1" applyFont="1" applyBorder="1" applyAlignment="1">
      <alignment vertical="center"/>
    </xf>
    <xf numFmtId="49" fontId="9" fillId="0" borderId="20" xfId="0" quotePrefix="1" applyNumberFormat="1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38" fontId="9" fillId="0" borderId="20" xfId="2422" applyNumberFormat="1" applyFont="1" applyFill="1" applyBorder="1" applyAlignment="1">
      <alignment vertical="center"/>
    </xf>
    <xf numFmtId="38" fontId="9" fillId="0" borderId="50" xfId="2422" applyNumberFormat="1" applyFont="1" applyFill="1" applyBorder="1" applyAlignment="1">
      <alignment vertical="center"/>
    </xf>
    <xf numFmtId="4" fontId="9" fillId="0" borderId="19" xfId="0" applyNumberFormat="1" applyFont="1" applyBorder="1" applyAlignment="1">
      <alignment vertical="center"/>
    </xf>
    <xf numFmtId="9" fontId="9" fillId="0" borderId="19" xfId="0" quotePrefix="1" applyNumberFormat="1" applyFont="1" applyBorder="1" applyAlignment="1">
      <alignment vertical="center"/>
    </xf>
    <xf numFmtId="241" fontId="9" fillId="0" borderId="2" xfId="0" applyNumberFormat="1" applyFont="1" applyBorder="1" applyAlignment="1">
      <alignment vertical="center"/>
    </xf>
    <xf numFmtId="3" fontId="9" fillId="0" borderId="2" xfId="2422" applyNumberFormat="1" applyFont="1" applyFill="1" applyBorder="1" applyAlignment="1">
      <alignment horizontal="center" vertical="center"/>
    </xf>
    <xf numFmtId="3" fontId="9" fillId="0" borderId="2" xfId="2422" quotePrefix="1" applyNumberFormat="1" applyFont="1" applyFill="1" applyBorder="1" applyAlignment="1">
      <alignment horizontal="center" vertical="center"/>
    </xf>
    <xf numFmtId="187" fontId="9" fillId="0" borderId="9" xfId="2422" quotePrefix="1" applyNumberFormat="1" applyFont="1" applyFill="1" applyBorder="1" applyAlignment="1">
      <alignment horizontal="left" vertical="center"/>
    </xf>
    <xf numFmtId="41" fontId="12" fillId="0" borderId="2" xfId="2422" applyFont="1" applyBorder="1" applyAlignment="1">
      <alignment vertical="center"/>
    </xf>
    <xf numFmtId="41" fontId="12" fillId="0" borderId="10" xfId="2422" applyFont="1" applyFill="1" applyBorder="1" applyAlignment="1">
      <alignment horizontal="right" vertical="center" shrinkToFit="1"/>
    </xf>
    <xf numFmtId="41" fontId="12" fillId="0" borderId="10" xfId="2422" applyFont="1" applyBorder="1" applyAlignment="1">
      <alignment horizontal="right" vertical="center" shrinkToFit="1"/>
    </xf>
    <xf numFmtId="41" fontId="12" fillId="0" borderId="2" xfId="2422" applyFont="1" applyFill="1" applyBorder="1" applyAlignment="1">
      <alignment horizontal="right" vertical="center" shrinkToFit="1"/>
    </xf>
    <xf numFmtId="41" fontId="12" fillId="0" borderId="2" xfId="2422" applyFont="1" applyBorder="1" applyAlignment="1">
      <alignment horizontal="right" vertical="center" shrinkToFit="1"/>
    </xf>
    <xf numFmtId="3" fontId="12" fillId="16" borderId="10" xfId="2422" applyNumberFormat="1" applyFont="1" applyFill="1" applyBorder="1" applyAlignment="1">
      <alignment horizontal="right" vertical="center" shrinkToFit="1"/>
    </xf>
    <xf numFmtId="0" fontId="104" fillId="0" borderId="0" xfId="2513" applyFont="1" applyAlignment="1">
      <alignment horizontal="left" vertical="center"/>
    </xf>
    <xf numFmtId="3" fontId="88" fillId="0" borderId="0" xfId="0" applyNumberFormat="1" applyFont="1"/>
    <xf numFmtId="38" fontId="88" fillId="0" borderId="0" xfId="0" applyNumberFormat="1" applyFont="1"/>
    <xf numFmtId="198" fontId="11" fillId="0" borderId="0" xfId="0" applyNumberFormat="1" applyFont="1" applyAlignment="1">
      <alignment vertical="center"/>
    </xf>
    <xf numFmtId="184" fontId="11" fillId="0" borderId="0" xfId="0" applyNumberFormat="1" applyFont="1" applyAlignment="1">
      <alignment vertical="center"/>
    </xf>
    <xf numFmtId="41" fontId="9" fillId="0" borderId="2" xfId="0" quotePrefix="1" applyNumberFormat="1" applyFont="1" applyBorder="1" applyAlignment="1">
      <alignment vertical="center"/>
    </xf>
    <xf numFmtId="0" fontId="11" fillId="0" borderId="37" xfId="0" quotePrefix="1" applyFont="1" applyBorder="1" applyAlignment="1">
      <alignment horizontal="right" vertical="center"/>
    </xf>
    <xf numFmtId="179" fontId="11" fillId="0" borderId="37" xfId="0" applyNumberFormat="1" applyFont="1" applyBorder="1" applyAlignment="1">
      <alignment vertical="center"/>
    </xf>
    <xf numFmtId="198" fontId="11" fillId="0" borderId="33" xfId="0" applyNumberFormat="1" applyFont="1" applyBorder="1" applyAlignment="1">
      <alignment vertical="center"/>
    </xf>
    <xf numFmtId="41" fontId="11" fillId="0" borderId="33" xfId="0" applyNumberFormat="1" applyFont="1" applyBorder="1" applyAlignment="1">
      <alignment vertical="center"/>
    </xf>
    <xf numFmtId="2" fontId="11" fillId="0" borderId="37" xfId="2422" applyNumberFormat="1" applyFont="1" applyFill="1" applyBorder="1" applyAlignment="1">
      <alignment vertical="center"/>
    </xf>
    <xf numFmtId="0" fontId="11" fillId="0" borderId="37" xfId="0" quotePrefix="1" applyFont="1" applyBorder="1" applyAlignment="1">
      <alignment horizontal="center" vertical="center"/>
    </xf>
    <xf numFmtId="0" fontId="11" fillId="0" borderId="33" xfId="0" quotePrefix="1" applyFont="1" applyBorder="1" applyAlignment="1">
      <alignment horizontal="center" vertical="center"/>
    </xf>
    <xf numFmtId="243" fontId="9" fillId="0" borderId="2" xfId="0" applyNumberFormat="1" applyFont="1" applyBorder="1" applyAlignment="1">
      <alignment vertical="center"/>
    </xf>
    <xf numFmtId="0" fontId="9" fillId="31" borderId="32" xfId="0" applyFont="1" applyFill="1" applyBorder="1" applyAlignment="1">
      <alignment horizontal="center" vertical="center"/>
    </xf>
    <xf numFmtId="0" fontId="9" fillId="31" borderId="98" xfId="0" applyFont="1" applyFill="1" applyBorder="1" applyAlignment="1">
      <alignment horizontal="center" vertical="center"/>
    </xf>
    <xf numFmtId="41" fontId="9" fillId="0" borderId="98" xfId="2422" applyFont="1" applyBorder="1" applyAlignment="1" applyProtection="1">
      <alignment vertical="center"/>
    </xf>
    <xf numFmtId="41" fontId="9" fillId="0" borderId="98" xfId="2422" applyFont="1" applyBorder="1" applyAlignment="1">
      <alignment vertical="center"/>
    </xf>
    <xf numFmtId="0" fontId="9" fillId="0" borderId="98" xfId="0" applyFont="1" applyBorder="1" applyAlignment="1">
      <alignment horizontal="center" vertical="center"/>
    </xf>
    <xf numFmtId="41" fontId="88" fillId="0" borderId="32" xfId="0" applyNumberFormat="1" applyFont="1" applyBorder="1" applyAlignment="1">
      <alignment horizontal="center" vertical="center"/>
    </xf>
    <xf numFmtId="41" fontId="88" fillId="0" borderId="9" xfId="0" applyNumberFormat="1" applyFont="1" applyBorder="1" applyAlignment="1">
      <alignment horizontal="center" vertical="center"/>
    </xf>
    <xf numFmtId="41" fontId="88" fillId="0" borderId="96" xfId="0" applyNumberFormat="1" applyFont="1" applyBorder="1" applyAlignment="1">
      <alignment horizontal="center" vertical="center"/>
    </xf>
    <xf numFmtId="0" fontId="12" fillId="0" borderId="2" xfId="2516" applyFont="1" applyBorder="1" applyAlignment="1">
      <alignment horizontal="left" vertical="center"/>
    </xf>
    <xf numFmtId="10" fontId="12" fillId="0" borderId="2" xfId="2516" applyNumberFormat="1" applyFont="1" applyBorder="1" applyAlignment="1">
      <alignment horizontal="center" vertical="center"/>
    </xf>
    <xf numFmtId="10" fontId="105" fillId="0" borderId="2" xfId="2516" applyNumberFormat="1" applyFont="1" applyBorder="1" applyAlignment="1">
      <alignment horizontal="center" vertical="center"/>
    </xf>
    <xf numFmtId="0" fontId="88" fillId="32" borderId="100" xfId="0" applyFont="1" applyFill="1" applyBorder="1" applyAlignment="1">
      <alignment horizontal="center" vertical="center"/>
    </xf>
    <xf numFmtId="0" fontId="88" fillId="32" borderId="99" xfId="0" applyFont="1" applyFill="1" applyBorder="1" applyAlignment="1">
      <alignment horizontal="center" vertical="center"/>
    </xf>
    <xf numFmtId="0" fontId="106" fillId="0" borderId="0" xfId="0" applyFont="1" applyAlignment="1">
      <alignment horizontal="center" vertical="center"/>
    </xf>
    <xf numFmtId="0" fontId="108" fillId="0" borderId="0" xfId="0" applyFont="1" applyAlignment="1">
      <alignment vertical="center"/>
    </xf>
    <xf numFmtId="0" fontId="109" fillId="0" borderId="0" xfId="0" applyFont="1" applyAlignment="1">
      <alignment vertical="center"/>
    </xf>
    <xf numFmtId="0" fontId="109" fillId="0" borderId="0" xfId="2510" applyFont="1" applyAlignment="1">
      <alignment horizontal="right" vertical="center"/>
    </xf>
    <xf numFmtId="0" fontId="49" fillId="0" borderId="0" xfId="0" applyFont="1" applyAlignment="1">
      <alignment vertical="center"/>
    </xf>
    <xf numFmtId="0" fontId="54" fillId="0" borderId="0" xfId="2515" applyFont="1" applyAlignment="1">
      <alignment horizontal="center" vertical="center"/>
    </xf>
    <xf numFmtId="0" fontId="49" fillId="0" borderId="0" xfId="2515" applyFont="1" applyAlignment="1">
      <alignment horizontal="centerContinuous" vertical="center"/>
    </xf>
    <xf numFmtId="0" fontId="110" fillId="0" borderId="0" xfId="2515" applyFont="1" applyAlignment="1">
      <alignment horizontal="centerContinuous" vertical="center"/>
    </xf>
    <xf numFmtId="0" fontId="49" fillId="0" borderId="0" xfId="2515" applyFont="1" applyAlignment="1">
      <alignment vertical="center"/>
    </xf>
    <xf numFmtId="0" fontId="111" fillId="0" borderId="0" xfId="2515" applyFont="1" applyAlignment="1">
      <alignment horizontal="centerContinuous" vertical="center"/>
    </xf>
    <xf numFmtId="176" fontId="49" fillId="0" borderId="0" xfId="2422" applyNumberFormat="1" applyFont="1" applyBorder="1" applyAlignment="1">
      <alignment horizontal="centerContinuous" vertical="center"/>
    </xf>
    <xf numFmtId="0" fontId="49" fillId="0" borderId="35" xfId="2515" applyFont="1" applyBorder="1" applyAlignment="1">
      <alignment horizontal="centerContinuous" vertical="center"/>
    </xf>
    <xf numFmtId="49" fontId="49" fillId="0" borderId="35" xfId="2515" applyNumberFormat="1" applyFont="1" applyBorder="1" applyAlignment="1">
      <alignment horizontal="center" vertical="center"/>
    </xf>
    <xf numFmtId="0" fontId="49" fillId="0" borderId="35" xfId="2515" applyFont="1" applyBorder="1" applyAlignment="1">
      <alignment horizontal="left" vertical="center" shrinkToFit="1"/>
    </xf>
    <xf numFmtId="41" fontId="49" fillId="0" borderId="0" xfId="2422" applyFont="1" applyBorder="1" applyAlignment="1">
      <alignment horizontal="center" vertical="center"/>
    </xf>
    <xf numFmtId="41" fontId="49" fillId="0" borderId="35" xfId="2422" applyFont="1" applyBorder="1" applyAlignment="1">
      <alignment vertical="center"/>
    </xf>
    <xf numFmtId="178" fontId="49" fillId="0" borderId="0" xfId="2422" applyNumberFormat="1" applyFont="1" applyBorder="1" applyAlignment="1">
      <alignment horizontal="right" vertical="center"/>
    </xf>
    <xf numFmtId="49" fontId="49" fillId="0" borderId="0" xfId="2515" applyNumberFormat="1" applyFont="1" applyAlignment="1">
      <alignment horizontal="right" vertical="center"/>
    </xf>
    <xf numFmtId="178" fontId="49" fillId="0" borderId="0" xfId="2422" applyNumberFormat="1" applyFont="1" applyBorder="1" applyAlignment="1">
      <alignment horizontal="center" vertical="center"/>
    </xf>
    <xf numFmtId="176" fontId="49" fillId="0" borderId="0" xfId="2422" applyNumberFormat="1" applyFont="1" applyBorder="1" applyAlignment="1">
      <alignment horizontal="right" vertical="center"/>
    </xf>
    <xf numFmtId="49" fontId="49" fillId="0" borderId="0" xfId="2515" applyNumberFormat="1" applyFont="1" applyAlignment="1">
      <alignment vertical="center"/>
    </xf>
    <xf numFmtId="0" fontId="49" fillId="33" borderId="2" xfId="0" applyFont="1" applyFill="1" applyBorder="1"/>
    <xf numFmtId="0" fontId="12" fillId="33" borderId="2" xfId="2516" applyFont="1" applyFill="1" applyBorder="1" applyAlignment="1">
      <alignment horizontal="center" vertical="center"/>
    </xf>
    <xf numFmtId="3" fontId="12" fillId="0" borderId="54" xfId="2422" applyNumberFormat="1" applyFont="1" applyFill="1" applyBorder="1" applyAlignment="1">
      <alignment horizontal="right" vertical="center" shrinkToFit="1"/>
    </xf>
    <xf numFmtId="3" fontId="12" fillId="0" borderId="54" xfId="2516" applyNumberFormat="1" applyFont="1" applyBorder="1" applyAlignment="1">
      <alignment horizontal="right" vertical="center" shrinkToFit="1"/>
    </xf>
    <xf numFmtId="41" fontId="12" fillId="0" borderId="54" xfId="2422" applyFont="1" applyFill="1" applyBorder="1" applyAlignment="1">
      <alignment horizontal="right" vertical="center" shrinkToFit="1"/>
    </xf>
    <xf numFmtId="41" fontId="12" fillId="0" borderId="54" xfId="2422" applyFont="1" applyBorder="1" applyAlignment="1">
      <alignment horizontal="right" vertical="center" shrinkToFit="1"/>
    </xf>
    <xf numFmtId="0" fontId="88" fillId="0" borderId="32" xfId="0" applyFont="1" applyBorder="1" applyAlignment="1">
      <alignment horizontal="left" vertical="center"/>
    </xf>
    <xf numFmtId="0" fontId="49" fillId="33" borderId="2" xfId="0" applyFont="1" applyFill="1" applyBorder="1" applyAlignment="1">
      <alignment horizontal="center" vertical="center" shrinkToFit="1"/>
    </xf>
    <xf numFmtId="3" fontId="88" fillId="0" borderId="10" xfId="2513" applyNumberFormat="1" applyFont="1" applyBorder="1" applyAlignment="1">
      <alignment vertical="center"/>
    </xf>
    <xf numFmtId="3" fontId="88" fillId="0" borderId="48" xfId="2518" applyNumberFormat="1" applyFont="1" applyBorder="1" applyAlignment="1">
      <alignment vertical="center" shrinkToFit="1"/>
    </xf>
    <xf numFmtId="3" fontId="88" fillId="0" borderId="48" xfId="2429" applyNumberFormat="1" applyFont="1" applyBorder="1" applyAlignment="1">
      <alignment vertical="center" shrinkToFit="1"/>
    </xf>
    <xf numFmtId="188" fontId="88" fillId="0" borderId="48" xfId="2518" applyNumberFormat="1" applyFont="1" applyBorder="1" applyAlignment="1">
      <alignment horizontal="center" vertical="center" shrinkToFit="1"/>
    </xf>
    <xf numFmtId="0" fontId="12" fillId="33" borderId="10" xfId="2513" applyFont="1" applyFill="1" applyBorder="1" applyAlignment="1">
      <alignment horizontal="center" vertical="center"/>
    </xf>
    <xf numFmtId="0" fontId="12" fillId="33" borderId="53" xfId="2513" applyFont="1" applyFill="1" applyBorder="1" applyAlignment="1">
      <alignment horizontal="center" vertical="center"/>
    </xf>
    <xf numFmtId="0" fontId="12" fillId="33" borderId="2" xfId="2513" applyFont="1" applyFill="1" applyBorder="1" applyAlignment="1">
      <alignment horizontal="center" vertical="center"/>
    </xf>
    <xf numFmtId="0" fontId="49" fillId="0" borderId="10" xfId="0" applyFont="1" applyBorder="1"/>
    <xf numFmtId="0" fontId="49" fillId="0" borderId="10" xfId="0" applyFont="1" applyBorder="1" applyAlignment="1">
      <alignment horizontal="center" vertical="center"/>
    </xf>
    <xf numFmtId="176" fontId="49" fillId="0" borderId="10" xfId="2422" applyNumberFormat="1" applyFont="1" applyBorder="1"/>
    <xf numFmtId="0" fontId="49" fillId="0" borderId="48" xfId="0" applyFont="1" applyBorder="1"/>
    <xf numFmtId="0" fontId="49" fillId="0" borderId="48" xfId="0" applyFont="1" applyBorder="1" applyAlignment="1">
      <alignment horizontal="center" vertical="center"/>
    </xf>
    <xf numFmtId="176" fontId="49" fillId="0" borderId="48" xfId="2422" applyNumberFormat="1" applyFont="1" applyBorder="1"/>
    <xf numFmtId="41" fontId="49" fillId="0" borderId="48" xfId="2422" applyFont="1" applyBorder="1" applyAlignment="1">
      <alignment vertical="center"/>
    </xf>
    <xf numFmtId="41" fontId="9" fillId="33" borderId="2" xfId="0" applyNumberFormat="1" applyFont="1" applyFill="1" applyBorder="1" applyAlignment="1">
      <alignment horizontal="center" vertical="center"/>
    </xf>
    <xf numFmtId="41" fontId="90" fillId="0" borderId="0" xfId="2422" applyFont="1" applyBorder="1" applyAlignment="1">
      <alignment horizontal="left" vertical="center"/>
    </xf>
    <xf numFmtId="41" fontId="90" fillId="0" borderId="0" xfId="2422" applyFont="1" applyBorder="1" applyAlignment="1">
      <alignment horizontal="center" vertical="center"/>
    </xf>
    <xf numFmtId="41" fontId="90" fillId="0" borderId="0" xfId="2422" applyFont="1" applyBorder="1" applyAlignment="1">
      <alignment vertical="center"/>
    </xf>
    <xf numFmtId="41" fontId="94" fillId="0" borderId="0" xfId="2422" applyFont="1" applyBorder="1" applyAlignment="1">
      <alignment horizontal="right" vertical="center"/>
    </xf>
    <xf numFmtId="178" fontId="94" fillId="0" borderId="0" xfId="2422" applyNumberFormat="1" applyFont="1" applyBorder="1" applyAlignment="1" applyProtection="1">
      <alignment horizontal="center" vertical="center"/>
      <protection locked="0"/>
    </xf>
    <xf numFmtId="41" fontId="90" fillId="33" borderId="2" xfId="2422" applyFont="1" applyFill="1" applyBorder="1" applyAlignment="1">
      <alignment horizontal="center" vertical="center"/>
    </xf>
    <xf numFmtId="41" fontId="90" fillId="33" borderId="2" xfId="2422" applyFont="1" applyFill="1" applyBorder="1" applyAlignment="1" applyProtection="1">
      <alignment horizontal="center" vertical="center"/>
    </xf>
    <xf numFmtId="0" fontId="9" fillId="33" borderId="2" xfId="0" applyFont="1" applyFill="1" applyBorder="1" applyAlignment="1">
      <alignment horizontal="center" vertical="center"/>
    </xf>
    <xf numFmtId="41" fontId="11" fillId="33" borderId="2" xfId="2422" applyFont="1" applyFill="1" applyBorder="1" applyAlignment="1">
      <alignment horizontal="center" vertical="center"/>
    </xf>
    <xf numFmtId="41" fontId="11" fillId="33" borderId="2" xfId="2422" quotePrefix="1" applyFont="1" applyFill="1" applyBorder="1" applyAlignment="1">
      <alignment horizontal="center" vertical="center"/>
    </xf>
    <xf numFmtId="41" fontId="9" fillId="33" borderId="2" xfId="2422" applyFont="1" applyFill="1" applyBorder="1" applyAlignment="1">
      <alignment horizontal="centerContinuous" vertical="center"/>
    </xf>
    <xf numFmtId="41" fontId="9" fillId="33" borderId="2" xfId="2422" applyFont="1" applyFill="1" applyBorder="1" applyAlignment="1">
      <alignment horizontal="center" vertical="center"/>
    </xf>
    <xf numFmtId="180" fontId="9" fillId="33" borderId="2" xfId="2422" applyNumberFormat="1" applyFont="1" applyFill="1" applyBorder="1" applyAlignment="1">
      <alignment horizontal="centerContinuous" vertical="center"/>
    </xf>
    <xf numFmtId="181" fontId="9" fillId="33" borderId="2" xfId="2422" applyNumberFormat="1" applyFont="1" applyFill="1" applyBorder="1" applyAlignment="1">
      <alignment horizontal="centerContinuous" vertical="center"/>
    </xf>
    <xf numFmtId="180" fontId="9" fillId="33" borderId="2" xfId="2422" applyNumberFormat="1" applyFont="1" applyFill="1" applyBorder="1" applyAlignment="1">
      <alignment horizontal="center" vertical="center"/>
    </xf>
    <xf numFmtId="181" fontId="9" fillId="33" borderId="2" xfId="2422" applyNumberFormat="1" applyFont="1" applyFill="1" applyBorder="1" applyAlignment="1">
      <alignment horizontal="center" vertical="center"/>
    </xf>
    <xf numFmtId="0" fontId="9" fillId="33" borderId="10" xfId="0" applyFont="1" applyFill="1" applyBorder="1" applyAlignment="1">
      <alignment horizontal="center" vertical="center" shrinkToFit="1"/>
    </xf>
    <xf numFmtId="41" fontId="9" fillId="33" borderId="63" xfId="2422" applyFont="1" applyFill="1" applyBorder="1" applyAlignment="1">
      <alignment horizontal="centerContinuous" vertical="center"/>
    </xf>
    <xf numFmtId="41" fontId="9" fillId="33" borderId="56" xfId="2422" applyFont="1" applyFill="1" applyBorder="1" applyAlignment="1">
      <alignment horizontal="centerContinuous" vertical="center"/>
    </xf>
    <xf numFmtId="41" fontId="9" fillId="33" borderId="57" xfId="2422" applyFont="1" applyFill="1" applyBorder="1" applyAlignment="1">
      <alignment horizontal="centerContinuous" vertical="center"/>
    </xf>
    <xf numFmtId="0" fontId="9" fillId="33" borderId="53" xfId="0" applyFont="1" applyFill="1" applyBorder="1" applyAlignment="1">
      <alignment horizontal="center" vertical="center" shrinkToFit="1"/>
    </xf>
    <xf numFmtId="41" fontId="9" fillId="33" borderId="65" xfId="2422" applyFont="1" applyFill="1" applyBorder="1" applyAlignment="1">
      <alignment horizontal="center" vertical="center"/>
    </xf>
    <xf numFmtId="41" fontId="9" fillId="33" borderId="20" xfId="2422" applyFont="1" applyFill="1" applyBorder="1" applyAlignment="1">
      <alignment horizontal="center" vertical="center"/>
    </xf>
    <xf numFmtId="41" fontId="9" fillId="33" borderId="50" xfId="2422" applyFont="1" applyFill="1" applyBorder="1" applyAlignment="1">
      <alignment horizontal="center" vertical="center"/>
    </xf>
    <xf numFmtId="0" fontId="9" fillId="33" borderId="10" xfId="0" applyFont="1" applyFill="1" applyBorder="1" applyAlignment="1">
      <alignment horizontal="center" vertical="center"/>
    </xf>
    <xf numFmtId="0" fontId="9" fillId="33" borderId="53" xfId="0" quotePrefix="1" applyFont="1" applyFill="1" applyBorder="1" applyAlignment="1">
      <alignment horizontal="center" vertical="center"/>
    </xf>
    <xf numFmtId="0" fontId="9" fillId="33" borderId="54" xfId="0" applyFont="1" applyFill="1" applyBorder="1" applyAlignment="1">
      <alignment horizontal="center" vertical="center"/>
    </xf>
    <xf numFmtId="41" fontId="9" fillId="33" borderId="10" xfId="2422" quotePrefix="1" applyFont="1" applyFill="1" applyBorder="1" applyAlignment="1">
      <alignment horizontal="center" vertical="center"/>
    </xf>
    <xf numFmtId="0" fontId="88" fillId="0" borderId="106" xfId="0" applyFont="1" applyBorder="1"/>
    <xf numFmtId="0" fontId="88" fillId="0" borderId="16" xfId="0" applyFont="1" applyBorder="1"/>
    <xf numFmtId="0" fontId="88" fillId="0" borderId="107" xfId="0" applyFont="1" applyBorder="1"/>
    <xf numFmtId="0" fontId="119" fillId="0" borderId="9" xfId="0" applyFont="1" applyBorder="1" applyAlignment="1">
      <alignment horizontal="center" vertical="center"/>
    </xf>
    <xf numFmtId="0" fontId="119" fillId="0" borderId="9" xfId="0" applyFont="1" applyBorder="1" applyAlignment="1">
      <alignment vertical="center"/>
    </xf>
    <xf numFmtId="0" fontId="119" fillId="0" borderId="15" xfId="0" applyFont="1" applyBorder="1" applyAlignment="1">
      <alignment horizontal="left" vertical="center"/>
    </xf>
    <xf numFmtId="0" fontId="119" fillId="0" borderId="9" xfId="0" applyFont="1" applyBorder="1" applyAlignment="1">
      <alignment horizontal="left" vertical="center"/>
    </xf>
    <xf numFmtId="0" fontId="119" fillId="0" borderId="9" xfId="0" applyFont="1" applyBorder="1" applyAlignment="1">
      <alignment horizontal="distributed" vertical="center"/>
    </xf>
    <xf numFmtId="0" fontId="119" fillId="0" borderId="15" xfId="0" applyFont="1" applyBorder="1" applyAlignment="1">
      <alignment horizontal="center" vertical="center"/>
    </xf>
    <xf numFmtId="0" fontId="119" fillId="0" borderId="53" xfId="0" applyFont="1" applyBorder="1" applyAlignment="1">
      <alignment horizontal="center" vertical="center"/>
    </xf>
    <xf numFmtId="0" fontId="119" fillId="0" borderId="32" xfId="0" applyFont="1" applyBorder="1" applyAlignment="1">
      <alignment horizontal="center" vertical="center"/>
    </xf>
    <xf numFmtId="239" fontId="119" fillId="0" borderId="9" xfId="0" applyNumberFormat="1" applyFont="1" applyBorder="1" applyAlignment="1">
      <alignment vertical="center" shrinkToFit="1"/>
    </xf>
    <xf numFmtId="0" fontId="119" fillId="0" borderId="9" xfId="0" applyFont="1" applyBorder="1" applyAlignment="1">
      <alignment horizontal="left" vertical="center" shrinkToFit="1"/>
    </xf>
    <xf numFmtId="0" fontId="119" fillId="0" borderId="33" xfId="0" applyFont="1" applyBorder="1" applyAlignment="1">
      <alignment horizontal="center" vertical="center"/>
    </xf>
    <xf numFmtId="0" fontId="119" fillId="0" borderId="33" xfId="0" applyFont="1" applyBorder="1" applyAlignment="1">
      <alignment horizontal="left" vertical="center"/>
    </xf>
    <xf numFmtId="180" fontId="119" fillId="0" borderId="33" xfId="0" applyNumberFormat="1" applyFont="1" applyBorder="1" applyAlignment="1">
      <alignment horizontal="center" vertical="center" shrinkToFit="1"/>
    </xf>
    <xf numFmtId="0" fontId="119" fillId="0" borderId="33" xfId="0" applyFont="1" applyBorder="1" applyAlignment="1">
      <alignment horizontal="left" vertical="center" shrinkToFit="1"/>
    </xf>
    <xf numFmtId="0" fontId="119" fillId="0" borderId="5" xfId="0" applyFont="1" applyBorder="1" applyAlignment="1">
      <alignment horizontal="center" vertical="center"/>
    </xf>
    <xf numFmtId="0" fontId="119" fillId="0" borderId="54" xfId="0" applyFont="1" applyBorder="1" applyAlignment="1">
      <alignment horizontal="center" vertical="center"/>
    </xf>
    <xf numFmtId="41" fontId="119" fillId="0" borderId="10" xfId="2422" applyFont="1" applyBorder="1" applyAlignment="1">
      <alignment vertical="center"/>
    </xf>
    <xf numFmtId="41" fontId="119" fillId="0" borderId="32" xfId="2422" applyFont="1" applyBorder="1" applyAlignment="1">
      <alignment vertical="center" shrinkToFit="1"/>
    </xf>
    <xf numFmtId="178" fontId="119" fillId="0" borderId="9" xfId="2422" applyNumberFormat="1" applyFont="1" applyBorder="1" applyAlignment="1">
      <alignment vertical="center" shrinkToFit="1"/>
    </xf>
    <xf numFmtId="41" fontId="119" fillId="0" borderId="9" xfId="2422" applyFont="1" applyBorder="1" applyAlignment="1">
      <alignment vertical="center" shrinkToFit="1"/>
    </xf>
    <xf numFmtId="41" fontId="119" fillId="0" borderId="9" xfId="2422" applyFont="1" applyBorder="1" applyAlignment="1">
      <alignment vertical="center"/>
    </xf>
    <xf numFmtId="41" fontId="119" fillId="0" borderId="2" xfId="2422" applyFont="1" applyBorder="1" applyAlignment="1">
      <alignment vertical="center"/>
    </xf>
    <xf numFmtId="0" fontId="12" fillId="0" borderId="32" xfId="0" applyFont="1" applyBorder="1"/>
    <xf numFmtId="0" fontId="12" fillId="0" borderId="15" xfId="0" applyFont="1" applyBorder="1"/>
    <xf numFmtId="41" fontId="119" fillId="0" borderId="15" xfId="2422" applyFont="1" applyBorder="1" applyAlignment="1">
      <alignment vertical="center" shrinkToFit="1"/>
    </xf>
    <xf numFmtId="41" fontId="12" fillId="0" borderId="32" xfId="2422" applyFont="1" applyBorder="1" applyAlignment="1">
      <alignment vertical="center"/>
    </xf>
    <xf numFmtId="41" fontId="12" fillId="0" borderId="15" xfId="2422" applyFont="1" applyBorder="1" applyAlignment="1">
      <alignment vertical="center"/>
    </xf>
    <xf numFmtId="0" fontId="119" fillId="0" borderId="21" xfId="0" applyFont="1" applyBorder="1" applyAlignment="1">
      <alignment horizontal="center" vertical="center"/>
    </xf>
    <xf numFmtId="180" fontId="119" fillId="0" borderId="9" xfId="0" applyNumberFormat="1" applyFont="1" applyBorder="1" applyAlignment="1">
      <alignment vertical="center" shrinkToFit="1"/>
    </xf>
    <xf numFmtId="0" fontId="119" fillId="0" borderId="9" xfId="0" applyFont="1" applyBorder="1" applyAlignment="1">
      <alignment vertical="center" shrinkToFit="1"/>
    </xf>
    <xf numFmtId="0" fontId="119" fillId="0" borderId="0" xfId="0" applyFont="1" applyAlignment="1">
      <alignment horizontal="center" vertical="center"/>
    </xf>
    <xf numFmtId="0" fontId="119" fillId="0" borderId="0" xfId="0" applyFont="1" applyAlignment="1">
      <alignment horizontal="left" vertical="center"/>
    </xf>
    <xf numFmtId="180" fontId="119" fillId="0" borderId="0" xfId="0" applyNumberFormat="1" applyFont="1" applyAlignment="1">
      <alignment horizontal="center" vertical="center" shrinkToFit="1"/>
    </xf>
    <xf numFmtId="0" fontId="119" fillId="0" borderId="0" xfId="0" applyFont="1" applyAlignment="1">
      <alignment horizontal="left" vertical="center" shrinkToFit="1"/>
    </xf>
    <xf numFmtId="0" fontId="119" fillId="0" borderId="35" xfId="0" applyFont="1" applyBorder="1" applyAlignment="1">
      <alignment horizontal="center" vertical="center"/>
    </xf>
    <xf numFmtId="180" fontId="119" fillId="0" borderId="9" xfId="0" applyNumberFormat="1" applyFont="1" applyBorder="1" applyAlignment="1">
      <alignment horizontal="center" vertical="center" shrinkToFit="1"/>
    </xf>
    <xf numFmtId="38" fontId="9" fillId="0" borderId="2" xfId="0" applyNumberFormat="1" applyFont="1" applyBorder="1" applyAlignment="1" applyProtection="1">
      <alignment vertical="center"/>
      <protection locked="0"/>
    </xf>
    <xf numFmtId="0" fontId="9" fillId="0" borderId="2" xfId="0" applyFont="1" applyBorder="1" applyAlignment="1" applyProtection="1">
      <alignment horizontal="right" vertical="center"/>
      <protection locked="0"/>
    </xf>
    <xf numFmtId="0" fontId="9" fillId="33" borderId="53" xfId="0" applyFont="1" applyFill="1" applyBorder="1" applyAlignment="1">
      <alignment horizontal="center" vertical="center"/>
    </xf>
    <xf numFmtId="0" fontId="49" fillId="0" borderId="35" xfId="2515" applyFont="1" applyBorder="1" applyAlignment="1">
      <alignment horizontal="left" vertical="center"/>
    </xf>
    <xf numFmtId="0" fontId="49" fillId="0" borderId="54" xfId="0" applyFont="1" applyBorder="1" applyAlignment="1">
      <alignment horizontal="center" vertical="center"/>
    </xf>
    <xf numFmtId="0" fontId="49" fillId="33" borderId="10" xfId="0" applyFont="1" applyFill="1" applyBorder="1" applyAlignment="1">
      <alignment horizontal="center" vertical="center"/>
    </xf>
    <xf numFmtId="41" fontId="120" fillId="0" borderId="32" xfId="2422" applyFont="1" applyBorder="1" applyAlignment="1" applyProtection="1">
      <alignment horizontal="center" vertical="center"/>
      <protection locked="0"/>
    </xf>
    <xf numFmtId="41" fontId="8" fillId="0" borderId="32" xfId="2422" applyFont="1" applyBorder="1" applyAlignment="1">
      <alignment horizontal="center" vertical="center"/>
    </xf>
    <xf numFmtId="41" fontId="8" fillId="0" borderId="32" xfId="2422" applyFont="1" applyBorder="1" applyAlignment="1" applyProtection="1">
      <alignment horizontal="center" vertical="center"/>
    </xf>
    <xf numFmtId="41" fontId="120" fillId="0" borderId="32" xfId="2422" applyFont="1" applyBorder="1" applyAlignment="1">
      <alignment horizontal="center" vertical="center"/>
    </xf>
    <xf numFmtId="41" fontId="120" fillId="0" borderId="32" xfId="2422" applyFont="1" applyBorder="1" applyAlignment="1" applyProtection="1">
      <alignment horizontal="center" vertical="center"/>
    </xf>
    <xf numFmtId="41" fontId="120" fillId="0" borderId="32" xfId="2422" applyFont="1" applyFill="1" applyBorder="1" applyAlignment="1" applyProtection="1">
      <alignment horizontal="center" vertical="center"/>
      <protection locked="0"/>
    </xf>
    <xf numFmtId="0" fontId="9" fillId="0" borderId="98" xfId="0" applyFont="1" applyBorder="1" applyAlignment="1">
      <alignment horizontal="left" vertical="center"/>
    </xf>
    <xf numFmtId="41" fontId="120" fillId="0" borderId="2" xfId="2422" applyFont="1" applyBorder="1" applyAlignment="1" applyProtection="1">
      <alignment horizontal="center" vertical="center"/>
      <protection locked="0"/>
    </xf>
    <xf numFmtId="41" fontId="8" fillId="0" borderId="2" xfId="2422" applyFont="1" applyBorder="1" applyAlignment="1" applyProtection="1">
      <alignment horizontal="center" vertical="center"/>
      <protection locked="0"/>
    </xf>
    <xf numFmtId="41" fontId="120" fillId="0" borderId="2" xfId="2422" applyFont="1" applyBorder="1" applyAlignment="1">
      <alignment horizontal="center" vertical="center"/>
    </xf>
    <xf numFmtId="37" fontId="9" fillId="34" borderId="2" xfId="0" applyNumberFormat="1" applyFont="1" applyFill="1" applyBorder="1" applyAlignment="1">
      <alignment vertical="center"/>
    </xf>
    <xf numFmtId="37" fontId="117" fillId="34" borderId="2" xfId="0" applyNumberFormat="1" applyFont="1" applyFill="1" applyBorder="1" applyAlignment="1" applyProtection="1">
      <alignment vertical="center"/>
      <protection locked="0"/>
    </xf>
    <xf numFmtId="37" fontId="117" fillId="34" borderId="2" xfId="0" applyNumberFormat="1" applyFont="1" applyFill="1" applyBorder="1" applyAlignment="1">
      <alignment vertical="center"/>
    </xf>
    <xf numFmtId="2" fontId="117" fillId="34" borderId="2" xfId="0" applyNumberFormat="1" applyFont="1" applyFill="1" applyBorder="1" applyAlignment="1" applyProtection="1">
      <alignment vertical="center"/>
      <protection locked="0"/>
    </xf>
    <xf numFmtId="41" fontId="9" fillId="0" borderId="10" xfId="2422" applyFont="1" applyFill="1" applyBorder="1" applyAlignment="1">
      <alignment horizontal="right" vertical="center" shrinkToFit="1"/>
    </xf>
    <xf numFmtId="188" fontId="9" fillId="0" borderId="10" xfId="2430" applyNumberFormat="1" applyFont="1" applyFill="1" applyBorder="1" applyAlignment="1">
      <alignment horizontal="right" vertical="center" shrinkToFit="1"/>
    </xf>
    <xf numFmtId="0" fontId="49" fillId="0" borderId="10" xfId="0" applyFont="1" applyBorder="1" applyAlignment="1">
      <alignment horizontal="center"/>
    </xf>
    <xf numFmtId="0" fontId="49" fillId="0" borderId="48" xfId="0" applyFont="1" applyBorder="1" applyAlignment="1">
      <alignment horizontal="center"/>
    </xf>
    <xf numFmtId="0" fontId="49" fillId="0" borderId="10" xfId="0" applyFont="1" applyBorder="1" applyAlignment="1">
      <alignment horizontal="left"/>
    </xf>
    <xf numFmtId="0" fontId="49" fillId="32" borderId="10" xfId="2513" applyFont="1" applyFill="1" applyBorder="1" applyAlignment="1">
      <alignment horizontal="center" vertical="center"/>
    </xf>
    <xf numFmtId="0" fontId="49" fillId="32" borderId="2" xfId="2513" applyFont="1" applyFill="1" applyBorder="1" applyAlignment="1">
      <alignment horizontal="center" vertical="center"/>
    </xf>
    <xf numFmtId="41" fontId="53" fillId="0" borderId="54" xfId="2422" applyFont="1" applyFill="1" applyBorder="1" applyAlignment="1">
      <alignment vertical="center"/>
    </xf>
    <xf numFmtId="4" fontId="49" fillId="0" borderId="54" xfId="2513" applyNumberFormat="1" applyFont="1" applyBorder="1" applyAlignment="1">
      <alignment vertical="center"/>
    </xf>
    <xf numFmtId="3" fontId="49" fillId="0" borderId="54" xfId="2513" applyNumberFormat="1" applyFont="1" applyBorder="1" applyAlignment="1">
      <alignment horizontal="center" vertical="center"/>
    </xf>
    <xf numFmtId="3" fontId="49" fillId="0" borderId="10" xfId="2518" applyNumberFormat="1" applyFont="1" applyBorder="1" applyAlignment="1">
      <alignment vertical="center" shrinkToFit="1"/>
    </xf>
    <xf numFmtId="3" fontId="49" fillId="0" borderId="10" xfId="2429" applyNumberFormat="1" applyFont="1" applyBorder="1" applyAlignment="1">
      <alignment vertical="center" shrinkToFit="1"/>
    </xf>
    <xf numFmtId="41" fontId="53" fillId="0" borderId="53" xfId="2422" applyFont="1" applyFill="1" applyBorder="1" applyAlignment="1">
      <alignment vertical="center"/>
    </xf>
    <xf numFmtId="4" fontId="49" fillId="0" borderId="53" xfId="2429" applyNumberFormat="1" applyFont="1" applyBorder="1" applyAlignment="1">
      <alignment vertical="center"/>
    </xf>
    <xf numFmtId="3" fontId="49" fillId="0" borderId="53" xfId="2513" applyNumberFormat="1" applyFont="1" applyBorder="1" applyAlignment="1">
      <alignment horizontal="center" vertical="center"/>
    </xf>
    <xf numFmtId="3" fontId="49" fillId="0" borderId="53" xfId="2518" applyNumberFormat="1" applyFont="1" applyBorder="1" applyAlignment="1">
      <alignment vertical="center" shrinkToFit="1"/>
    </xf>
    <xf numFmtId="3" fontId="49" fillId="0" borderId="53" xfId="2429" applyNumberFormat="1" applyFont="1" applyBorder="1" applyAlignment="1">
      <alignment vertical="center" shrinkToFit="1"/>
    </xf>
    <xf numFmtId="188" fontId="49" fillId="0" borderId="53" xfId="2518" applyNumberFormat="1" applyFont="1" applyBorder="1" applyAlignment="1">
      <alignment horizontal="center" vertical="center" shrinkToFit="1"/>
    </xf>
    <xf numFmtId="41" fontId="53" fillId="0" borderId="10" xfId="2422" applyFont="1" applyFill="1" applyBorder="1" applyAlignment="1">
      <alignment vertical="center"/>
    </xf>
    <xf numFmtId="188" fontId="49" fillId="0" borderId="10" xfId="2518" applyNumberFormat="1" applyFont="1" applyBorder="1" applyAlignment="1">
      <alignment horizontal="center" vertical="center" shrinkToFit="1"/>
    </xf>
    <xf numFmtId="176" fontId="49" fillId="0" borderId="10" xfId="2422" applyNumberFormat="1" applyFont="1" applyFill="1" applyBorder="1" applyAlignment="1">
      <alignment vertical="center"/>
    </xf>
    <xf numFmtId="3" fontId="49" fillId="0" borderId="10" xfId="2422" applyNumberFormat="1" applyFont="1" applyFill="1" applyBorder="1" applyAlignment="1">
      <alignment vertical="center"/>
    </xf>
    <xf numFmtId="3" fontId="49" fillId="0" borderId="10" xfId="2422" applyNumberFormat="1" applyFont="1" applyBorder="1" applyAlignment="1">
      <alignment horizontal="right" vertical="center"/>
    </xf>
    <xf numFmtId="3" fontId="49" fillId="0" borderId="10" xfId="2422" applyNumberFormat="1" applyFont="1" applyBorder="1" applyAlignment="1">
      <alignment vertical="center"/>
    </xf>
    <xf numFmtId="3" fontId="49" fillId="0" borderId="10" xfId="0" applyNumberFormat="1" applyFont="1" applyBorder="1" applyAlignment="1">
      <alignment horizontal="center" vertical="center"/>
    </xf>
    <xf numFmtId="0" fontId="49" fillId="0" borderId="53" xfId="0" applyFont="1" applyBorder="1" applyAlignment="1">
      <alignment horizontal="center" vertical="center"/>
    </xf>
    <xf numFmtId="3" fontId="49" fillId="0" borderId="53" xfId="2422" applyNumberFormat="1" applyFont="1" applyFill="1" applyBorder="1" applyAlignment="1">
      <alignment vertical="center"/>
    </xf>
    <xf numFmtId="3" fontId="49" fillId="0" borderId="53" xfId="2422" applyNumberFormat="1" applyFont="1" applyBorder="1" applyAlignment="1">
      <alignment horizontal="right" vertical="center"/>
    </xf>
    <xf numFmtId="3" fontId="49" fillId="0" borderId="53" xfId="2422" applyNumberFormat="1" applyFont="1" applyBorder="1" applyAlignment="1">
      <alignment vertical="center"/>
    </xf>
    <xf numFmtId="3" fontId="49" fillId="0" borderId="53" xfId="0" applyNumberFormat="1" applyFont="1" applyBorder="1" applyAlignment="1">
      <alignment horizontal="center" vertical="center"/>
    </xf>
    <xf numFmtId="4" fontId="49" fillId="0" borderId="10" xfId="0" applyNumberFormat="1" applyFont="1" applyBorder="1" applyAlignment="1">
      <alignment vertical="center"/>
    </xf>
    <xf numFmtId="3" fontId="49" fillId="0" borderId="10" xfId="0" applyNumberFormat="1" applyFont="1" applyBorder="1"/>
    <xf numFmtId="3" fontId="49" fillId="0" borderId="53" xfId="0" applyNumberFormat="1" applyFont="1" applyBorder="1"/>
    <xf numFmtId="0" fontId="54" fillId="0" borderId="0" xfId="0" applyFont="1"/>
    <xf numFmtId="0" fontId="54" fillId="0" borderId="36" xfId="0" applyFont="1" applyBorder="1"/>
    <xf numFmtId="0" fontId="54" fillId="0" borderId="37" xfId="0" applyFont="1" applyBorder="1"/>
    <xf numFmtId="0" fontId="54" fillId="0" borderId="21" xfId="0" applyFont="1" applyBorder="1"/>
    <xf numFmtId="0" fontId="54" fillId="0" borderId="26" xfId="0" applyFont="1" applyBorder="1"/>
    <xf numFmtId="0" fontId="54" fillId="0" borderId="33" xfId="0" applyFont="1" applyBorder="1"/>
    <xf numFmtId="0" fontId="54" fillId="0" borderId="5" xfId="0" applyFont="1" applyBorder="1"/>
    <xf numFmtId="0" fontId="54" fillId="0" borderId="110" xfId="0" applyFont="1" applyBorder="1"/>
    <xf numFmtId="0" fontId="54" fillId="0" borderId="109" xfId="0" applyFont="1" applyBorder="1"/>
    <xf numFmtId="0" fontId="54" fillId="0" borderId="35" xfId="0" applyFont="1" applyBorder="1"/>
    <xf numFmtId="0" fontId="54" fillId="0" borderId="34" xfId="0" applyFont="1" applyBorder="1"/>
    <xf numFmtId="0" fontId="54" fillId="0" borderId="111" xfId="0" applyFont="1" applyBorder="1"/>
    <xf numFmtId="0" fontId="54" fillId="0" borderId="112" xfId="0" applyFont="1" applyBorder="1"/>
    <xf numFmtId="0" fontId="54" fillId="0" borderId="113" xfId="0" applyFont="1" applyBorder="1"/>
    <xf numFmtId="0" fontId="54" fillId="0" borderId="66" xfId="0" applyFont="1" applyBorder="1"/>
    <xf numFmtId="0" fontId="54" fillId="0" borderId="114" xfId="0" applyFont="1" applyBorder="1"/>
    <xf numFmtId="0" fontId="54" fillId="0" borderId="0" xfId="0" applyFont="1" applyAlignment="1">
      <alignment vertical="top"/>
    </xf>
    <xf numFmtId="0" fontId="5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4" fillId="0" borderId="3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54" fillId="0" borderId="36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54" fillId="35" borderId="2" xfId="0" applyFont="1" applyFill="1" applyBorder="1" applyAlignment="1">
      <alignment horizontal="center" vertical="center"/>
    </xf>
    <xf numFmtId="0" fontId="0" fillId="35" borderId="2" xfId="0" applyFill="1" applyBorder="1" applyAlignment="1">
      <alignment horizontal="center" vertical="center"/>
    </xf>
    <xf numFmtId="0" fontId="122" fillId="0" borderId="37" xfId="0" applyFon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41" fontId="9" fillId="0" borderId="0" xfId="2422" applyFont="1" applyBorder="1" applyAlignment="1">
      <alignment vertical="center" shrinkToFit="1"/>
    </xf>
    <xf numFmtId="41" fontId="125" fillId="0" borderId="2" xfId="2422" applyFont="1" applyBorder="1" applyAlignment="1" applyProtection="1">
      <alignment vertical="center"/>
      <protection locked="0"/>
    </xf>
    <xf numFmtId="41" fontId="125" fillId="0" borderId="2" xfId="2422" applyFont="1" applyBorder="1" applyAlignment="1" applyProtection="1">
      <alignment vertical="center"/>
    </xf>
    <xf numFmtId="41" fontId="125" fillId="0" borderId="2" xfId="2422" applyFont="1" applyFill="1" applyBorder="1" applyAlignment="1" applyProtection="1">
      <alignment vertical="center"/>
      <protection locked="0"/>
    </xf>
    <xf numFmtId="41" fontId="90" fillId="0" borderId="2" xfId="2422" quotePrefix="1" applyFont="1" applyBorder="1" applyAlignment="1">
      <alignment horizontal="left" vertical="center"/>
    </xf>
    <xf numFmtId="2" fontId="9" fillId="0" borderId="19" xfId="0" quotePrefix="1" applyNumberFormat="1" applyFont="1" applyBorder="1" applyAlignment="1">
      <alignment vertical="center"/>
    </xf>
    <xf numFmtId="186" fontId="9" fillId="0" borderId="2" xfId="0" quotePrefix="1" applyNumberFormat="1" applyFont="1" applyBorder="1" applyAlignment="1">
      <alignment horizontal="center" vertical="center"/>
    </xf>
    <xf numFmtId="179" fontId="9" fillId="0" borderId="19" xfId="0" applyNumberFormat="1" applyFont="1" applyBorder="1" applyAlignment="1">
      <alignment vertical="center"/>
    </xf>
    <xf numFmtId="184" fontId="9" fillId="0" borderId="19" xfId="0" quotePrefix="1" applyNumberFormat="1" applyFont="1" applyBorder="1" applyAlignment="1">
      <alignment vertical="center"/>
    </xf>
    <xf numFmtId="41" fontId="49" fillId="33" borderId="2" xfId="0" applyNumberFormat="1" applyFont="1" applyFill="1" applyBorder="1" applyAlignment="1">
      <alignment horizontal="center" vertical="center" shrinkToFit="1"/>
    </xf>
    <xf numFmtId="41" fontId="49" fillId="33" borderId="2" xfId="2422" applyFont="1" applyFill="1" applyBorder="1" applyAlignment="1">
      <alignment vertical="center" shrinkToFit="1"/>
    </xf>
    <xf numFmtId="178" fontId="49" fillId="33" borderId="2" xfId="2422" applyNumberFormat="1" applyFont="1" applyFill="1" applyBorder="1" applyAlignment="1">
      <alignment vertical="center" shrinkToFit="1"/>
    </xf>
    <xf numFmtId="0" fontId="49" fillId="33" borderId="2" xfId="0" applyFont="1" applyFill="1" applyBorder="1" applyAlignment="1">
      <alignment shrinkToFit="1"/>
    </xf>
    <xf numFmtId="0" fontId="88" fillId="0" borderId="87" xfId="0" applyFont="1" applyBorder="1" applyAlignment="1">
      <alignment vertical="center"/>
    </xf>
    <xf numFmtId="0" fontId="88" fillId="0" borderId="86" xfId="0" applyFont="1" applyBorder="1" applyAlignment="1">
      <alignment vertical="center"/>
    </xf>
    <xf numFmtId="0" fontId="88" fillId="0" borderId="115" xfId="0" applyFont="1" applyBorder="1"/>
    <xf numFmtId="0" fontId="88" fillId="0" borderId="33" xfId="0" applyFont="1" applyBorder="1"/>
    <xf numFmtId="0" fontId="88" fillId="0" borderId="116" xfId="0" applyFont="1" applyBorder="1"/>
    <xf numFmtId="0" fontId="88" fillId="0" borderId="88" xfId="0" applyFont="1" applyBorder="1" applyAlignment="1">
      <alignment vertical="center"/>
    </xf>
    <xf numFmtId="0" fontId="119" fillId="0" borderId="36" xfId="0" applyFont="1" applyBorder="1" applyAlignment="1">
      <alignment horizontal="center" vertical="center"/>
    </xf>
    <xf numFmtId="0" fontId="119" fillId="0" borderId="2" xfId="0" applyFont="1" applyBorder="1" applyAlignment="1">
      <alignment horizontal="center" vertical="center"/>
    </xf>
    <xf numFmtId="0" fontId="49" fillId="33" borderId="2" xfId="0" applyFont="1" applyFill="1" applyBorder="1" applyAlignment="1">
      <alignment horizontal="center" vertical="center"/>
    </xf>
    <xf numFmtId="178" fontId="9" fillId="0" borderId="2" xfId="2422" applyNumberFormat="1" applyFont="1" applyBorder="1" applyAlignment="1">
      <alignment vertical="center"/>
    </xf>
    <xf numFmtId="0" fontId="91" fillId="0" borderId="36" xfId="0" applyFont="1" applyBorder="1" applyAlignment="1">
      <alignment horizontal="center" vertical="center"/>
    </xf>
    <xf numFmtId="0" fontId="91" fillId="0" borderId="21" xfId="0" applyFont="1" applyBorder="1" applyAlignment="1">
      <alignment horizontal="center" vertical="center"/>
    </xf>
    <xf numFmtId="0" fontId="12" fillId="0" borderId="37" xfId="0" applyFont="1" applyBorder="1"/>
    <xf numFmtId="41" fontId="10" fillId="0" borderId="9" xfId="0" applyNumberFormat="1" applyFont="1" applyBorder="1" applyAlignment="1">
      <alignment horizontal="left" vertical="center"/>
    </xf>
    <xf numFmtId="0" fontId="10" fillId="0" borderId="32" xfId="0" applyFont="1" applyBorder="1" applyAlignment="1">
      <alignment horizontal="center" vertical="center"/>
    </xf>
    <xf numFmtId="0" fontId="49" fillId="32" borderId="53" xfId="2513" applyFont="1" applyFill="1" applyBorder="1" applyAlignment="1">
      <alignment horizontal="left" vertical="center"/>
    </xf>
    <xf numFmtId="0" fontId="54" fillId="0" borderId="117" xfId="2515" applyFont="1" applyBorder="1" applyAlignment="1">
      <alignment horizontal="center" vertical="center"/>
    </xf>
    <xf numFmtId="41" fontId="49" fillId="0" borderId="117" xfId="2422" applyFont="1" applyBorder="1" applyAlignment="1">
      <alignment vertical="center"/>
    </xf>
    <xf numFmtId="0" fontId="49" fillId="0" borderId="117" xfId="2515" applyFont="1" applyBorder="1" applyAlignment="1">
      <alignment horizontal="center" vertical="center"/>
    </xf>
    <xf numFmtId="176" fontId="49" fillId="0" borderId="117" xfId="2422" applyNumberFormat="1" applyFont="1" applyBorder="1" applyAlignment="1">
      <alignment horizontal="right" vertical="center"/>
    </xf>
    <xf numFmtId="4" fontId="12" fillId="0" borderId="10" xfId="2513" applyNumberFormat="1" applyFont="1" applyBorder="1" applyAlignment="1">
      <alignment vertical="center"/>
    </xf>
    <xf numFmtId="3" fontId="12" fillId="0" borderId="10" xfId="2513" applyNumberFormat="1" applyFont="1" applyBorder="1" applyAlignment="1">
      <alignment horizontal="center" vertical="center"/>
    </xf>
    <xf numFmtId="3" fontId="12" fillId="0" borderId="10" xfId="2518" applyNumberFormat="1" applyFont="1" applyBorder="1" applyAlignment="1">
      <alignment vertical="center" shrinkToFit="1"/>
    </xf>
    <xf numFmtId="3" fontId="12" fillId="0" borderId="10" xfId="2513" applyNumberFormat="1" applyFont="1" applyBorder="1" applyAlignment="1">
      <alignment vertical="center"/>
    </xf>
    <xf numFmtId="3" fontId="12" fillId="0" borderId="10" xfId="2429" applyNumberFormat="1" applyFont="1" applyBorder="1" applyAlignment="1">
      <alignment vertical="center" shrinkToFit="1"/>
    </xf>
    <xf numFmtId="0" fontId="12" fillId="0" borderId="10" xfId="2513" applyFont="1" applyBorder="1" applyAlignment="1">
      <alignment horizontal="center" vertical="center"/>
    </xf>
    <xf numFmtId="4" fontId="12" fillId="0" borderId="48" xfId="2429" applyNumberFormat="1" applyFont="1" applyBorder="1" applyAlignment="1">
      <alignment vertical="center"/>
    </xf>
    <xf numFmtId="3" fontId="12" fillId="0" borderId="48" xfId="2513" applyNumberFormat="1" applyFont="1" applyBorder="1" applyAlignment="1">
      <alignment horizontal="center" vertical="center"/>
    </xf>
    <xf numFmtId="3" fontId="12" fillId="0" borderId="48" xfId="2518" applyNumberFormat="1" applyFont="1" applyBorder="1" applyAlignment="1">
      <alignment vertical="center" shrinkToFit="1"/>
    </xf>
    <xf numFmtId="3" fontId="12" fillId="0" borderId="48" xfId="2429" applyNumberFormat="1" applyFont="1" applyBorder="1" applyAlignment="1">
      <alignment vertical="center" shrinkToFit="1"/>
    </xf>
    <xf numFmtId="188" fontId="12" fillId="0" borderId="48" xfId="2518" applyNumberFormat="1" applyFont="1" applyBorder="1" applyAlignment="1">
      <alignment horizontal="center" vertical="center" shrinkToFit="1"/>
    </xf>
    <xf numFmtId="4" fontId="88" fillId="0" borderId="10" xfId="2513" applyNumberFormat="1" applyFont="1" applyBorder="1" applyAlignment="1">
      <alignment vertical="center"/>
    </xf>
    <xf numFmtId="3" fontId="88" fillId="0" borderId="10" xfId="2513" applyNumberFormat="1" applyFont="1" applyBorder="1" applyAlignment="1">
      <alignment horizontal="center" vertical="center"/>
    </xf>
    <xf numFmtId="4" fontId="88" fillId="0" borderId="48" xfId="2429" applyNumberFormat="1" applyFont="1" applyBorder="1" applyAlignment="1">
      <alignment vertical="center"/>
    </xf>
    <xf numFmtId="3" fontId="88" fillId="0" borderId="48" xfId="2513" applyNumberFormat="1" applyFont="1" applyBorder="1" applyAlignment="1">
      <alignment horizontal="center" vertical="center"/>
    </xf>
    <xf numFmtId="176" fontId="118" fillId="0" borderId="10" xfId="2422" applyNumberFormat="1" applyFont="1" applyFill="1" applyBorder="1" applyAlignment="1">
      <alignment vertical="center"/>
    </xf>
    <xf numFmtId="0" fontId="118" fillId="0" borderId="10" xfId="0" applyFont="1" applyBorder="1" applyAlignment="1">
      <alignment horizontal="center" vertical="center"/>
    </xf>
    <xf numFmtId="3" fontId="118" fillId="0" borderId="10" xfId="2422" applyNumberFormat="1" applyFont="1" applyFill="1" applyBorder="1" applyAlignment="1">
      <alignment vertical="center"/>
    </xf>
    <xf numFmtId="3" fontId="118" fillId="0" borderId="10" xfId="2422" applyNumberFormat="1" applyFont="1" applyBorder="1" applyAlignment="1">
      <alignment horizontal="right" vertical="center"/>
    </xf>
    <xf numFmtId="3" fontId="118" fillId="0" borderId="10" xfId="2422" applyNumberFormat="1" applyFont="1" applyBorder="1" applyAlignment="1">
      <alignment vertical="center"/>
    </xf>
    <xf numFmtId="3" fontId="88" fillId="0" borderId="10" xfId="0" applyNumberFormat="1" applyFont="1" applyBorder="1" applyAlignment="1">
      <alignment horizontal="center" vertical="center"/>
    </xf>
    <xf numFmtId="0" fontId="118" fillId="0" borderId="48" xfId="0" applyFont="1" applyBorder="1" applyAlignment="1">
      <alignment horizontal="center" vertical="center"/>
    </xf>
    <xf numFmtId="3" fontId="118" fillId="0" borderId="48" xfId="2422" applyNumberFormat="1" applyFont="1" applyFill="1" applyBorder="1" applyAlignment="1">
      <alignment vertical="center"/>
    </xf>
    <xf numFmtId="3" fontId="118" fillId="0" borderId="48" xfId="2422" applyNumberFormat="1" applyFont="1" applyBorder="1" applyAlignment="1">
      <alignment horizontal="right" vertical="center"/>
    </xf>
    <xf numFmtId="3" fontId="118" fillId="0" borderId="48" xfId="2422" applyNumberFormat="1" applyFont="1" applyBorder="1" applyAlignment="1">
      <alignment vertical="center"/>
    </xf>
    <xf numFmtId="3" fontId="88" fillId="0" borderId="48" xfId="0" applyNumberFormat="1" applyFont="1" applyBorder="1" applyAlignment="1">
      <alignment horizontal="center" vertical="center"/>
    </xf>
    <xf numFmtId="4" fontId="118" fillId="0" borderId="10" xfId="0" applyNumberFormat="1" applyFont="1" applyBorder="1" applyAlignment="1">
      <alignment vertical="center"/>
    </xf>
    <xf numFmtId="3" fontId="118" fillId="0" borderId="10" xfId="0" applyNumberFormat="1" applyFont="1" applyBorder="1" applyAlignment="1">
      <alignment horizontal="center" vertical="center"/>
    </xf>
    <xf numFmtId="3" fontId="88" fillId="0" borderId="10" xfId="0" applyNumberFormat="1" applyFont="1" applyBorder="1" applyAlignment="1">
      <alignment vertical="center"/>
    </xf>
    <xf numFmtId="3" fontId="118" fillId="0" borderId="48" xfId="0" applyNumberFormat="1" applyFont="1" applyBorder="1" applyAlignment="1">
      <alignment horizontal="center" vertical="center"/>
    </xf>
    <xf numFmtId="3" fontId="88" fillId="0" borderId="48" xfId="0" applyNumberFormat="1" applyFont="1" applyBorder="1" applyAlignment="1">
      <alignment vertical="center"/>
    </xf>
    <xf numFmtId="4" fontId="88" fillId="0" borderId="10" xfId="2429" applyNumberFormat="1" applyFont="1" applyBorder="1" applyAlignment="1">
      <alignment vertical="center"/>
    </xf>
    <xf numFmtId="41" fontId="9" fillId="0" borderId="10" xfId="2422" applyFont="1" applyFill="1" applyBorder="1" applyAlignment="1">
      <alignment vertical="center" shrinkToFit="1"/>
    </xf>
    <xf numFmtId="177" fontId="9" fillId="0" borderId="10" xfId="2511" applyNumberFormat="1" applyBorder="1" applyAlignment="1">
      <alignment horizontal="right" vertical="center" shrinkToFit="1"/>
    </xf>
    <xf numFmtId="177" fontId="9" fillId="0" borderId="10" xfId="2430" applyNumberFormat="1" applyFont="1" applyFill="1" applyBorder="1" applyAlignment="1">
      <alignment vertical="center" shrinkToFit="1"/>
    </xf>
    <xf numFmtId="0" fontId="88" fillId="0" borderId="26" xfId="0" applyFont="1" applyBorder="1"/>
    <xf numFmtId="0" fontId="97" fillId="0" borderId="117" xfId="0" applyFont="1" applyBorder="1" applyAlignment="1">
      <alignment vertical="center"/>
    </xf>
    <xf numFmtId="0" fontId="88" fillId="0" borderId="117" xfId="0" applyFont="1" applyBorder="1" applyAlignment="1">
      <alignment vertical="top"/>
    </xf>
    <xf numFmtId="0" fontId="88" fillId="0" borderId="117" xfId="0" applyFont="1" applyBorder="1" applyAlignment="1">
      <alignment vertical="center"/>
    </xf>
    <xf numFmtId="0" fontId="88" fillId="0" borderId="117" xfId="0" applyFont="1" applyBorder="1"/>
    <xf numFmtId="0" fontId="88" fillId="0" borderId="118" xfId="0" applyFont="1" applyBorder="1"/>
    <xf numFmtId="49" fontId="49" fillId="0" borderId="119" xfId="2515" applyNumberFormat="1" applyFont="1" applyBorder="1" applyAlignment="1">
      <alignment horizontal="left" vertical="center"/>
    </xf>
    <xf numFmtId="41" fontId="49" fillId="0" borderId="48" xfId="2422" applyFont="1" applyBorder="1" applyAlignment="1">
      <alignment horizontal="left" vertical="center"/>
    </xf>
    <xf numFmtId="184" fontId="9" fillId="0" borderId="84" xfId="0" applyNumberFormat="1" applyFont="1" applyBorder="1" applyAlignment="1">
      <alignment vertical="center"/>
    </xf>
    <xf numFmtId="0" fontId="128" fillId="0" borderId="0" xfId="1274" applyFont="1" applyAlignment="1">
      <alignment vertical="center"/>
    </xf>
    <xf numFmtId="176" fontId="127" fillId="0" borderId="123" xfId="2525" applyNumberFormat="1" applyFont="1" applyBorder="1" applyAlignment="1">
      <alignment horizontal="center" vertical="center"/>
    </xf>
    <xf numFmtId="41" fontId="127" fillId="0" borderId="122" xfId="2525" applyFont="1" applyBorder="1" applyAlignment="1">
      <alignment vertical="center"/>
    </xf>
    <xf numFmtId="176" fontId="127" fillId="0" borderId="126" xfId="2525" applyNumberFormat="1" applyFont="1" applyBorder="1" applyAlignment="1">
      <alignment horizontal="center" vertical="center"/>
    </xf>
    <xf numFmtId="41" fontId="127" fillId="0" borderId="126" xfId="2525" applyFont="1" applyBorder="1" applyAlignment="1">
      <alignment vertical="center"/>
    </xf>
    <xf numFmtId="41" fontId="127" fillId="0" borderId="125" xfId="2525" applyFont="1" applyBorder="1" applyAlignment="1">
      <alignment vertical="center"/>
    </xf>
    <xf numFmtId="41" fontId="127" fillId="0" borderId="121" xfId="2525" applyFont="1" applyBorder="1" applyAlignment="1">
      <alignment horizontal="center" vertical="center"/>
    </xf>
    <xf numFmtId="41" fontId="127" fillId="0" borderId="122" xfId="2525" applyFont="1" applyBorder="1" applyAlignment="1">
      <alignment horizontal="center" vertical="center"/>
    </xf>
    <xf numFmtId="41" fontId="127" fillId="0" borderId="123" xfId="2525" applyFont="1" applyBorder="1" applyAlignment="1">
      <alignment horizontal="center" vertical="center"/>
    </xf>
    <xf numFmtId="41" fontId="127" fillId="0" borderId="124" xfId="2525" applyFont="1" applyBorder="1" applyAlignment="1">
      <alignment horizontal="center" vertical="center"/>
    </xf>
    <xf numFmtId="41" fontId="127" fillId="0" borderId="125" xfId="2525" applyFont="1" applyBorder="1" applyAlignment="1">
      <alignment horizontal="center" vertical="center"/>
    </xf>
    <xf numFmtId="41" fontId="127" fillId="0" borderId="126" xfId="2525" applyFont="1" applyBorder="1" applyAlignment="1">
      <alignment horizontal="center" vertical="center"/>
    </xf>
    <xf numFmtId="41" fontId="129" fillId="0" borderId="10" xfId="2525" applyFont="1" applyBorder="1" applyAlignment="1">
      <alignment vertical="center"/>
    </xf>
    <xf numFmtId="41" fontId="129" fillId="0" borderId="2" xfId="2525" applyFont="1" applyBorder="1" applyAlignment="1">
      <alignment vertical="center"/>
    </xf>
    <xf numFmtId="41" fontId="127" fillId="0" borderId="117" xfId="2525" applyFont="1" applyBorder="1" applyAlignment="1">
      <alignment vertical="center"/>
    </xf>
    <xf numFmtId="41" fontId="129" fillId="0" borderId="117" xfId="2525" applyFont="1" applyBorder="1" applyAlignment="1">
      <alignment vertical="center"/>
    </xf>
    <xf numFmtId="0" fontId="9" fillId="0" borderId="117" xfId="0" applyFont="1" applyBorder="1" applyAlignment="1">
      <alignment vertical="center"/>
    </xf>
    <xf numFmtId="37" fontId="117" fillId="0" borderId="2" xfId="0" applyNumberFormat="1" applyFont="1" applyBorder="1" applyAlignment="1">
      <alignment vertical="center"/>
    </xf>
    <xf numFmtId="37" fontId="9" fillId="34" borderId="2" xfId="0" applyNumberFormat="1" applyFont="1" applyFill="1" applyBorder="1" applyAlignment="1" applyProtection="1">
      <alignment vertical="center"/>
      <protection locked="0"/>
    </xf>
    <xf numFmtId="0" fontId="49" fillId="0" borderId="117" xfId="0" applyFont="1" applyBorder="1" applyAlignment="1">
      <alignment vertical="center"/>
    </xf>
    <xf numFmtId="0" fontId="49" fillId="0" borderId="35" xfId="0" applyFont="1" applyBorder="1" applyAlignment="1">
      <alignment vertical="center"/>
    </xf>
    <xf numFmtId="49" fontId="49" fillId="0" borderId="127" xfId="2515" applyNumberFormat="1" applyFont="1" applyBorder="1" applyAlignment="1">
      <alignment horizontal="center" vertical="center"/>
    </xf>
    <xf numFmtId="201" fontId="105" fillId="0" borderId="2" xfId="2516" applyNumberFormat="1" applyFont="1" applyBorder="1" applyAlignment="1">
      <alignment horizontal="center" vertical="center"/>
    </xf>
    <xf numFmtId="0" fontId="9" fillId="0" borderId="108" xfId="0" applyFont="1" applyBorder="1" applyAlignment="1">
      <alignment horizontal="left" vertical="center"/>
    </xf>
    <xf numFmtId="0" fontId="9" fillId="0" borderId="119" xfId="0" applyFont="1" applyBorder="1" applyAlignment="1">
      <alignment horizontal="right" vertical="center"/>
    </xf>
    <xf numFmtId="2" fontId="9" fillId="0" borderId="119" xfId="0" applyNumberFormat="1" applyFont="1" applyBorder="1" applyAlignment="1">
      <alignment vertical="center"/>
    </xf>
    <xf numFmtId="0" fontId="9" fillId="0" borderId="119" xfId="0" applyFont="1" applyBorder="1" applyAlignment="1">
      <alignment vertical="center"/>
    </xf>
    <xf numFmtId="2" fontId="9" fillId="0" borderId="119" xfId="0" applyNumberFormat="1" applyFont="1" applyBorder="1" applyAlignment="1">
      <alignment horizontal="left" vertical="center"/>
    </xf>
    <xf numFmtId="184" fontId="9" fillId="0" borderId="19" xfId="0" applyNumberFormat="1" applyFont="1" applyBorder="1" applyAlignment="1">
      <alignment horizontal="right" vertical="center"/>
    </xf>
    <xf numFmtId="184" fontId="9" fillId="0" borderId="44" xfId="0" applyNumberFormat="1" applyFont="1" applyBorder="1" applyAlignment="1">
      <alignment vertical="center"/>
    </xf>
    <xf numFmtId="41" fontId="9" fillId="0" borderId="117" xfId="2422" applyFont="1" applyBorder="1" applyAlignment="1">
      <alignment vertical="center"/>
    </xf>
    <xf numFmtId="0" fontId="9" fillId="0" borderId="120" xfId="0" applyFont="1" applyBorder="1" applyAlignment="1">
      <alignment vertical="center"/>
    </xf>
    <xf numFmtId="0" fontId="9" fillId="0" borderId="117" xfId="0" applyFont="1" applyBorder="1" applyAlignment="1">
      <alignment horizontal="center" vertical="center"/>
    </xf>
    <xf numFmtId="178" fontId="9" fillId="0" borderId="117" xfId="0" applyNumberFormat="1" applyFont="1" applyBorder="1" applyAlignment="1">
      <alignment vertical="center"/>
    </xf>
    <xf numFmtId="178" fontId="9" fillId="0" borderId="117" xfId="2422" applyNumberFormat="1" applyFont="1" applyBorder="1" applyAlignment="1" applyProtection="1">
      <alignment vertical="center"/>
    </xf>
    <xf numFmtId="37" fontId="9" fillId="0" borderId="117" xfId="0" applyNumberFormat="1" applyFont="1" applyBorder="1" applyAlignment="1">
      <alignment vertical="center"/>
    </xf>
    <xf numFmtId="41" fontId="9" fillId="0" borderId="117" xfId="2422" applyFont="1" applyBorder="1" applyAlignment="1" applyProtection="1">
      <alignment vertical="center"/>
    </xf>
    <xf numFmtId="41" fontId="9" fillId="0" borderId="117" xfId="2422" applyFont="1" applyBorder="1" applyAlignment="1" applyProtection="1">
      <alignment vertical="center"/>
      <protection locked="0"/>
    </xf>
    <xf numFmtId="184" fontId="9" fillId="0" borderId="70" xfId="0" applyNumberFormat="1" applyFont="1" applyBorder="1" applyAlignment="1">
      <alignment vertical="center"/>
    </xf>
    <xf numFmtId="184" fontId="9" fillId="0" borderId="47" xfId="0" applyNumberFormat="1" applyFont="1" applyBorder="1" applyAlignment="1">
      <alignment vertical="center"/>
    </xf>
    <xf numFmtId="41" fontId="130" fillId="0" borderId="2" xfId="2422" applyFont="1" applyBorder="1" applyAlignment="1" applyProtection="1">
      <alignment vertical="center"/>
      <protection locked="0"/>
    </xf>
    <xf numFmtId="41" fontId="130" fillId="0" borderId="2" xfId="2422" applyFont="1" applyFill="1" applyBorder="1" applyAlignment="1" applyProtection="1">
      <alignment vertical="center"/>
      <protection locked="0"/>
    </xf>
    <xf numFmtId="41" fontId="130" fillId="0" borderId="2" xfId="2422" applyFont="1" applyBorder="1" applyAlignment="1" applyProtection="1">
      <alignment vertical="center"/>
    </xf>
    <xf numFmtId="38" fontId="9" fillId="0" borderId="9" xfId="2422" applyNumberFormat="1" applyFont="1" applyFill="1" applyBorder="1" applyAlignment="1">
      <alignment vertical="center"/>
    </xf>
    <xf numFmtId="38" fontId="9" fillId="0" borderId="15" xfId="2422" applyNumberFormat="1" applyFont="1" applyFill="1" applyBorder="1" applyAlignment="1">
      <alignment vertical="center"/>
    </xf>
    <xf numFmtId="0" fontId="9" fillId="0" borderId="53" xfId="2520" applyFont="1" applyBorder="1" applyAlignment="1">
      <alignment horizontal="center" vertical="center" shrinkToFit="1"/>
    </xf>
    <xf numFmtId="41" fontId="9" fillId="0" borderId="48" xfId="2422" applyFont="1" applyFill="1" applyBorder="1" applyAlignment="1">
      <alignment vertical="center" shrinkToFit="1"/>
    </xf>
    <xf numFmtId="177" fontId="9" fillId="0" borderId="48" xfId="2511" applyNumberFormat="1" applyBorder="1" applyAlignment="1">
      <alignment horizontal="center" vertical="center" shrinkToFit="1"/>
    </xf>
    <xf numFmtId="177" fontId="9" fillId="0" borderId="48" xfId="2511" applyNumberFormat="1" applyBorder="1" applyAlignment="1">
      <alignment horizontal="right" vertical="center" shrinkToFit="1"/>
    </xf>
    <xf numFmtId="195" fontId="9" fillId="0" borderId="48" xfId="2422" applyNumberFormat="1" applyFont="1" applyFill="1" applyBorder="1" applyAlignment="1">
      <alignment horizontal="right" vertical="center" shrinkToFit="1"/>
    </xf>
    <xf numFmtId="177" fontId="9" fillId="0" borderId="48" xfId="2422" applyNumberFormat="1" applyFont="1" applyFill="1" applyBorder="1" applyAlignment="1">
      <alignment horizontal="right" vertical="center" shrinkToFit="1"/>
    </xf>
    <xf numFmtId="41" fontId="9" fillId="0" borderId="48" xfId="2422" applyFont="1" applyFill="1" applyBorder="1" applyAlignment="1">
      <alignment horizontal="right" vertical="center" shrinkToFit="1"/>
    </xf>
    <xf numFmtId="0" fontId="8" fillId="0" borderId="10" xfId="2510" applyFont="1" applyBorder="1" applyAlignment="1">
      <alignment horizontal="center" vertical="center"/>
    </xf>
    <xf numFmtId="0" fontId="8" fillId="0" borderId="10" xfId="2510" applyFont="1" applyBorder="1" applyAlignment="1">
      <alignment vertical="center"/>
    </xf>
    <xf numFmtId="41" fontId="8" fillId="0" borderId="10" xfId="2430" applyFont="1" applyFill="1" applyBorder="1" applyAlignment="1">
      <alignment vertical="center"/>
    </xf>
    <xf numFmtId="41" fontId="8" fillId="0" borderId="10" xfId="2422" applyFont="1" applyFill="1" applyBorder="1" applyAlignment="1">
      <alignment vertical="center"/>
    </xf>
    <xf numFmtId="0" fontId="12" fillId="0" borderId="48" xfId="2510" applyFont="1" applyBorder="1" applyAlignment="1">
      <alignment vertical="center"/>
    </xf>
    <xf numFmtId="41" fontId="8" fillId="0" borderId="48" xfId="2430" applyFont="1" applyFill="1" applyBorder="1" applyAlignment="1">
      <alignment vertical="center"/>
    </xf>
    <xf numFmtId="41" fontId="12" fillId="0" borderId="48" xfId="2430" applyFont="1" applyFill="1" applyBorder="1" applyAlignment="1">
      <alignment vertical="center"/>
    </xf>
    <xf numFmtId="0" fontId="49" fillId="0" borderId="54" xfId="0" applyFont="1" applyBorder="1" applyAlignment="1">
      <alignment horizontal="left"/>
    </xf>
    <xf numFmtId="41" fontId="53" fillId="0" borderId="10" xfId="2422" applyFont="1" applyFill="1" applyBorder="1" applyAlignment="1">
      <alignment horizontal="center" vertical="center"/>
    </xf>
    <xf numFmtId="41" fontId="53" fillId="0" borderId="53" xfId="2422" applyFont="1" applyFill="1" applyBorder="1" applyAlignment="1">
      <alignment horizontal="center" vertical="center"/>
    </xf>
    <xf numFmtId="41" fontId="121" fillId="0" borderId="53" xfId="2422" applyFont="1" applyFill="1" applyBorder="1" applyAlignment="1">
      <alignment horizontal="center" vertical="center"/>
    </xf>
    <xf numFmtId="41" fontId="121" fillId="0" borderId="54" xfId="2422" applyFont="1" applyFill="1" applyBorder="1" applyAlignment="1">
      <alignment horizontal="center" vertical="center"/>
    </xf>
    <xf numFmtId="178" fontId="53" fillId="0" borderId="10" xfId="2422" quotePrefix="1" applyNumberFormat="1" applyFont="1" applyFill="1" applyBorder="1" applyAlignment="1">
      <alignment horizontal="center" vertical="center"/>
    </xf>
    <xf numFmtId="0" fontId="88" fillId="0" borderId="89" xfId="0" applyFont="1" applyBorder="1" applyAlignment="1">
      <alignment vertical="center"/>
    </xf>
    <xf numFmtId="0" fontId="88" fillId="0" borderId="35" xfId="0" applyFont="1" applyBorder="1" applyAlignment="1">
      <alignment vertical="center"/>
    </xf>
    <xf numFmtId="0" fontId="90" fillId="0" borderId="0" xfId="2513" applyFont="1" applyAlignment="1">
      <alignment horizontal="center" vertical="center"/>
    </xf>
    <xf numFmtId="0" fontId="90" fillId="0" borderId="0" xfId="2518" applyFont="1" applyAlignment="1">
      <alignment horizontal="center" vertical="center" shrinkToFit="1"/>
    </xf>
    <xf numFmtId="0" fontId="90" fillId="0" borderId="0" xfId="2513" applyFont="1" applyAlignment="1">
      <alignment vertical="center"/>
    </xf>
    <xf numFmtId="177" fontId="90" fillId="0" borderId="0" xfId="2513" applyNumberFormat="1" applyFont="1" applyAlignment="1">
      <alignment horizontal="right" vertical="center"/>
    </xf>
    <xf numFmtId="188" fontId="90" fillId="0" borderId="0" xfId="2518" applyNumberFormat="1" applyFont="1" applyAlignment="1">
      <alignment horizontal="center" vertical="center" shrinkToFit="1"/>
    </xf>
    <xf numFmtId="0" fontId="88" fillId="31" borderId="32" xfId="2513" applyFont="1" applyFill="1" applyBorder="1" applyAlignment="1">
      <alignment horizontal="centerContinuous" vertical="center"/>
    </xf>
    <xf numFmtId="0" fontId="88" fillId="31" borderId="15" xfId="2513" applyFont="1" applyFill="1" applyBorder="1" applyAlignment="1">
      <alignment horizontal="centerContinuous" vertical="center"/>
    </xf>
    <xf numFmtId="0" fontId="88" fillId="31" borderId="2" xfId="2513" applyFont="1" applyFill="1" applyBorder="1" applyAlignment="1">
      <alignment horizontal="center" vertical="center"/>
    </xf>
    <xf numFmtId="195" fontId="88" fillId="0" borderId="54" xfId="2513" applyNumberFormat="1" applyFont="1" applyBorder="1" applyAlignment="1">
      <alignment vertical="center"/>
    </xf>
    <xf numFmtId="177" fontId="88" fillId="0" borderId="54" xfId="2513" applyNumberFormat="1" applyFont="1" applyBorder="1" applyAlignment="1">
      <alignment horizontal="center" vertical="center"/>
    </xf>
    <xf numFmtId="0" fontId="88" fillId="0" borderId="54" xfId="2513" applyFont="1" applyBorder="1" applyAlignment="1">
      <alignment horizontal="center" vertical="center"/>
    </xf>
    <xf numFmtId="195" fontId="88" fillId="0" borderId="48" xfId="2429" applyNumberFormat="1" applyFont="1" applyBorder="1" applyAlignment="1">
      <alignment vertical="center"/>
    </xf>
    <xf numFmtId="0" fontId="88" fillId="0" borderId="48" xfId="2513" applyFont="1" applyBorder="1" applyAlignment="1">
      <alignment horizontal="center" vertical="center"/>
    </xf>
    <xf numFmtId="3" fontId="88" fillId="0" borderId="54" xfId="2518" applyNumberFormat="1" applyFont="1" applyBorder="1" applyAlignment="1">
      <alignment vertical="center" shrinkToFit="1"/>
    </xf>
    <xf numFmtId="3" fontId="88" fillId="0" borderId="54" xfId="2513" applyNumberFormat="1" applyFont="1" applyBorder="1" applyAlignment="1">
      <alignment vertical="center"/>
    </xf>
    <xf numFmtId="3" fontId="88" fillId="0" borderId="54" xfId="2429" applyNumberFormat="1" applyFont="1" applyBorder="1" applyAlignment="1">
      <alignment vertical="center" shrinkToFit="1"/>
    </xf>
    <xf numFmtId="195" fontId="88" fillId="0" borderId="54" xfId="2429" applyNumberFormat="1" applyFont="1" applyBorder="1" applyAlignment="1">
      <alignment vertical="center"/>
    </xf>
    <xf numFmtId="188" fontId="88" fillId="0" borderId="54" xfId="2518" applyNumberFormat="1" applyFont="1" applyBorder="1" applyAlignment="1">
      <alignment horizontal="center" vertical="center" shrinkToFit="1"/>
    </xf>
    <xf numFmtId="0" fontId="88" fillId="0" borderId="53" xfId="2513" applyFont="1" applyBorder="1" applyAlignment="1">
      <alignment horizontal="center" vertical="center"/>
    </xf>
    <xf numFmtId="195" fontId="88" fillId="0" borderId="53" xfId="2429" applyNumberFormat="1" applyFont="1" applyBorder="1" applyAlignment="1">
      <alignment vertical="center"/>
    </xf>
    <xf numFmtId="3" fontId="88" fillId="0" borderId="53" xfId="2518" applyNumberFormat="1" applyFont="1" applyBorder="1" applyAlignment="1">
      <alignment vertical="center" shrinkToFit="1"/>
    </xf>
    <xf numFmtId="3" fontId="88" fillId="0" borderId="53" xfId="2429" applyNumberFormat="1" applyFont="1" applyBorder="1" applyAlignment="1">
      <alignment vertical="center" shrinkToFit="1"/>
    </xf>
    <xf numFmtId="188" fontId="88" fillId="0" borderId="53" xfId="2518" applyNumberFormat="1" applyFont="1" applyBorder="1" applyAlignment="1">
      <alignment horizontal="center" vertical="center" shrinkToFit="1"/>
    </xf>
    <xf numFmtId="0" fontId="88" fillId="0" borderId="10" xfId="2513" applyFont="1" applyBorder="1" applyAlignment="1">
      <alignment horizontal="center" vertical="center"/>
    </xf>
    <xf numFmtId="0" fontId="88" fillId="0" borderId="128" xfId="2513" applyFont="1" applyBorder="1" applyAlignment="1">
      <alignment horizontal="center" vertical="center"/>
    </xf>
    <xf numFmtId="0" fontId="88" fillId="0" borderId="129" xfId="2513" applyFont="1" applyBorder="1" applyAlignment="1">
      <alignment horizontal="center" vertical="center"/>
    </xf>
    <xf numFmtId="195" fontId="88" fillId="0" borderId="10" xfId="2429" applyNumberFormat="1" applyFont="1" applyBorder="1" applyAlignment="1">
      <alignment vertical="center"/>
    </xf>
    <xf numFmtId="0" fontId="88" fillId="0" borderId="117" xfId="2513" applyFont="1" applyBorder="1" applyAlignment="1">
      <alignment horizontal="center" vertical="center"/>
    </xf>
    <xf numFmtId="0" fontId="88" fillId="0" borderId="35" xfId="2513" applyFont="1" applyBorder="1" applyAlignment="1">
      <alignment horizontal="center" vertical="center"/>
    </xf>
    <xf numFmtId="0" fontId="88" fillId="0" borderId="53" xfId="2513" applyFont="1" applyBorder="1" applyAlignment="1">
      <alignment vertical="center"/>
    </xf>
    <xf numFmtId="176" fontId="88" fillId="0" borderId="10" xfId="2422" applyNumberFormat="1" applyFont="1" applyBorder="1" applyAlignment="1">
      <alignment horizontal="center" vertical="center"/>
    </xf>
    <xf numFmtId="3" fontId="88" fillId="0" borderId="128" xfId="2422" applyNumberFormat="1" applyFont="1" applyBorder="1" applyAlignment="1">
      <alignment vertical="center" shrinkToFit="1"/>
    </xf>
    <xf numFmtId="3" fontId="88" fillId="0" borderId="10" xfId="2422" applyNumberFormat="1" applyFont="1" applyBorder="1" applyAlignment="1">
      <alignment vertical="center" shrinkToFit="1"/>
    </xf>
    <xf numFmtId="41" fontId="88" fillId="0" borderId="10" xfId="2422" applyFont="1" applyBorder="1" applyAlignment="1">
      <alignment horizontal="center" vertical="center" shrinkToFit="1"/>
    </xf>
    <xf numFmtId="0" fontId="88" fillId="0" borderId="48" xfId="0" applyFont="1" applyBorder="1" applyAlignment="1">
      <alignment horizontal="center" vertical="center"/>
    </xf>
    <xf numFmtId="3" fontId="88" fillId="0" borderId="130" xfId="2422" applyNumberFormat="1" applyFont="1" applyBorder="1" applyAlignment="1">
      <alignment vertical="center"/>
    </xf>
    <xf numFmtId="3" fontId="88" fillId="0" borderId="48" xfId="2422" applyNumberFormat="1" applyFont="1" applyBorder="1" applyAlignment="1">
      <alignment vertical="center"/>
    </xf>
    <xf numFmtId="41" fontId="88" fillId="0" borderId="48" xfId="2422" applyFont="1" applyBorder="1" applyAlignment="1">
      <alignment vertical="center"/>
    </xf>
    <xf numFmtId="0" fontId="88" fillId="0" borderId="59" xfId="0" applyFont="1" applyBorder="1" applyAlignment="1">
      <alignment horizontal="center" vertical="center"/>
    </xf>
    <xf numFmtId="3" fontId="88" fillId="0" borderId="108" xfId="2422" applyNumberFormat="1" applyFont="1" applyBorder="1" applyAlignment="1">
      <alignment vertical="center"/>
    </xf>
    <xf numFmtId="3" fontId="88" fillId="0" borderId="48" xfId="2422" applyNumberFormat="1" applyFont="1" applyBorder="1" applyAlignment="1">
      <alignment vertical="center" shrinkToFit="1"/>
    </xf>
    <xf numFmtId="41" fontId="88" fillId="0" borderId="48" xfId="2422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0" fontId="54" fillId="0" borderId="10" xfId="0" applyFont="1" applyBorder="1"/>
    <xf numFmtId="0" fontId="88" fillId="0" borderId="103" xfId="0" applyFont="1" applyBorder="1" applyAlignment="1">
      <alignment vertical="center"/>
    </xf>
    <xf numFmtId="0" fontId="88" fillId="0" borderId="92" xfId="0" applyFont="1" applyBorder="1" applyAlignment="1">
      <alignment horizontal="center" vertical="center" wrapText="1"/>
    </xf>
    <xf numFmtId="0" fontId="88" fillId="0" borderId="87" xfId="0" applyFont="1" applyBorder="1" applyAlignment="1">
      <alignment horizontal="center" vertical="center"/>
    </xf>
    <xf numFmtId="41" fontId="49" fillId="0" borderId="128" xfId="2422" applyFont="1" applyBorder="1" applyAlignment="1">
      <alignment vertical="center"/>
    </xf>
    <xf numFmtId="242" fontId="49" fillId="0" borderId="129" xfId="2422" applyNumberFormat="1" applyFont="1" applyBorder="1" applyAlignment="1">
      <alignment horizontal="center" vertical="center"/>
    </xf>
    <xf numFmtId="49" fontId="49" fillId="0" borderId="129" xfId="2515" applyNumberFormat="1" applyFont="1" applyBorder="1" applyAlignment="1">
      <alignment horizontal="center" vertical="center"/>
    </xf>
    <xf numFmtId="178" fontId="49" fillId="0" borderId="128" xfId="2422" applyNumberFormat="1" applyFont="1" applyBorder="1" applyAlignment="1">
      <alignment vertical="center"/>
    </xf>
    <xf numFmtId="0" fontId="49" fillId="0" borderId="129" xfId="2515" applyFont="1" applyBorder="1" applyAlignment="1">
      <alignment horizontal="left" vertical="center" shrinkToFit="1"/>
    </xf>
    <xf numFmtId="0" fontId="49" fillId="0" borderId="0" xfId="2515" applyFont="1" applyAlignment="1">
      <alignment horizontal="center" vertical="center"/>
    </xf>
    <xf numFmtId="41" fontId="93" fillId="0" borderId="0" xfId="0" applyNumberFormat="1" applyFont="1" applyAlignment="1">
      <alignment horizontal="center" vertical="center"/>
    </xf>
    <xf numFmtId="41" fontId="88" fillId="0" borderId="0" xfId="0" applyNumberFormat="1" applyFont="1" applyAlignment="1">
      <alignment vertical="center"/>
    </xf>
    <xf numFmtId="41" fontId="49" fillId="0" borderId="10" xfId="0" applyNumberFormat="1" applyFont="1" applyBorder="1" applyAlignment="1">
      <alignment horizontal="left"/>
    </xf>
    <xf numFmtId="49" fontId="49" fillId="0" borderId="117" xfId="2515" applyNumberFormat="1" applyFont="1" applyBorder="1" applyAlignment="1">
      <alignment horizontal="right" vertical="center"/>
    </xf>
    <xf numFmtId="242" fontId="49" fillId="0" borderId="0" xfId="2515" applyNumberFormat="1" applyFont="1" applyAlignment="1">
      <alignment horizontal="left" vertical="center"/>
    </xf>
    <xf numFmtId="41" fontId="49" fillId="0" borderId="10" xfId="0" applyNumberFormat="1" applyFont="1" applyBorder="1"/>
    <xf numFmtId="41" fontId="12" fillId="16" borderId="10" xfId="2422" applyFont="1" applyFill="1" applyBorder="1" applyAlignment="1">
      <alignment vertical="center" shrinkToFit="1"/>
    </xf>
    <xf numFmtId="41" fontId="134" fillId="0" borderId="35" xfId="2422" applyFont="1" applyBorder="1" applyAlignment="1">
      <alignment vertical="center"/>
    </xf>
    <xf numFmtId="242" fontId="49" fillId="0" borderId="0" xfId="2515" applyNumberFormat="1" applyFont="1" applyAlignment="1">
      <alignment vertical="center"/>
    </xf>
    <xf numFmtId="3" fontId="49" fillId="0" borderId="0" xfId="0" applyNumberFormat="1" applyFont="1" applyAlignment="1">
      <alignment vertical="center"/>
    </xf>
    <xf numFmtId="41" fontId="9" fillId="0" borderId="10" xfId="2520" applyNumberFormat="1" applyFont="1" applyBorder="1" applyAlignment="1">
      <alignment horizontal="center" vertical="center" shrinkToFit="1"/>
    </xf>
    <xf numFmtId="176" fontId="49" fillId="0" borderId="54" xfId="2422" applyNumberFormat="1" applyFont="1" applyBorder="1"/>
    <xf numFmtId="0" fontId="49" fillId="0" borderId="54" xfId="0" applyFont="1" applyBorder="1"/>
    <xf numFmtId="41" fontId="12" fillId="0" borderId="0" xfId="2422" applyFont="1" applyAlignment="1">
      <alignment vertical="center"/>
    </xf>
    <xf numFmtId="0" fontId="135" fillId="0" borderId="0" xfId="2529"/>
    <xf numFmtId="244" fontId="137" fillId="0" borderId="39" xfId="2529" applyNumberFormat="1" applyFont="1" applyBorder="1" applyAlignment="1">
      <alignment horizontal="center" vertical="center"/>
    </xf>
    <xf numFmtId="244" fontId="137" fillId="0" borderId="40" xfId="2529" applyNumberFormat="1" applyFont="1" applyBorder="1" applyAlignment="1">
      <alignment horizontal="center" vertical="center"/>
    </xf>
    <xf numFmtId="244" fontId="137" fillId="0" borderId="117" xfId="2529" applyNumberFormat="1" applyFont="1" applyBorder="1" applyAlignment="1">
      <alignment horizontal="left" vertical="center"/>
    </xf>
    <xf numFmtId="244" fontId="138" fillId="0" borderId="0" xfId="2529" applyNumberFormat="1" applyFont="1" applyAlignment="1">
      <alignment vertical="center"/>
    </xf>
    <xf numFmtId="3" fontId="137" fillId="0" borderId="132" xfId="2529" applyNumberFormat="1" applyFont="1" applyBorder="1" applyAlignment="1">
      <alignment horizontal="right" vertical="center"/>
    </xf>
    <xf numFmtId="3" fontId="137" fillId="0" borderId="133" xfId="2529" applyNumberFormat="1" applyFont="1" applyBorder="1" applyAlignment="1">
      <alignment horizontal="right" vertical="center"/>
    </xf>
    <xf numFmtId="0" fontId="135" fillId="0" borderId="0" xfId="2529" applyAlignment="1">
      <alignment horizontal="right" vertical="center"/>
    </xf>
    <xf numFmtId="244" fontId="138" fillId="0" borderId="117" xfId="2529" applyNumberFormat="1" applyFont="1" applyBorder="1" applyAlignment="1">
      <alignment vertical="center"/>
    </xf>
    <xf numFmtId="244" fontId="138" fillId="0" borderId="132" xfId="2529" applyNumberFormat="1" applyFont="1" applyBorder="1" applyAlignment="1">
      <alignment horizontal="right" vertical="center"/>
    </xf>
    <xf numFmtId="244" fontId="138" fillId="0" borderId="133" xfId="2529" applyNumberFormat="1" applyFont="1" applyBorder="1" applyAlignment="1">
      <alignment horizontal="right" vertical="center"/>
    </xf>
    <xf numFmtId="3" fontId="138" fillId="0" borderId="132" xfId="2529" applyNumberFormat="1" applyFont="1" applyBorder="1" applyAlignment="1">
      <alignment horizontal="right" vertical="center"/>
    </xf>
    <xf numFmtId="244" fontId="138" fillId="0" borderId="36" xfId="2529" applyNumberFormat="1" applyFont="1" applyBorder="1" applyAlignment="1">
      <alignment vertical="center"/>
    </xf>
    <xf numFmtId="244" fontId="138" fillId="0" borderId="37" xfId="2529" applyNumberFormat="1" applyFont="1" applyBorder="1" applyAlignment="1">
      <alignment vertical="center"/>
    </xf>
    <xf numFmtId="244" fontId="138" fillId="0" borderId="134" xfId="2529" applyNumberFormat="1" applyFont="1" applyBorder="1" applyAlignment="1">
      <alignment horizontal="right" vertical="center"/>
    </xf>
    <xf numFmtId="244" fontId="138" fillId="0" borderId="52" xfId="2529" applyNumberFormat="1" applyFont="1" applyBorder="1" applyAlignment="1">
      <alignment horizontal="right" vertical="center"/>
    </xf>
    <xf numFmtId="245" fontId="9" fillId="0" borderId="2" xfId="0" applyNumberFormat="1" applyFont="1" applyBorder="1" applyAlignment="1">
      <alignment horizontal="right" vertical="center"/>
    </xf>
    <xf numFmtId="41" fontId="9" fillId="0" borderId="2" xfId="2422" applyNumberFormat="1" applyFont="1" applyBorder="1" applyAlignment="1">
      <alignment horizontal="right" vertical="center"/>
    </xf>
    <xf numFmtId="3" fontId="49" fillId="0" borderId="10" xfId="2518" applyNumberFormat="1" applyFont="1" applyBorder="1" applyAlignment="1">
      <alignment horizontal="right" vertical="center" shrinkToFit="1"/>
    </xf>
    <xf numFmtId="3" fontId="49" fillId="0" borderId="53" xfId="2518" applyNumberFormat="1" applyFont="1" applyBorder="1" applyAlignment="1">
      <alignment horizontal="right" vertical="center" shrinkToFit="1"/>
    </xf>
    <xf numFmtId="242" fontId="49" fillId="0" borderId="0" xfId="2515" applyNumberFormat="1" applyFont="1" applyAlignment="1">
      <alignment horizontal="left" vertical="center"/>
    </xf>
    <xf numFmtId="0" fontId="9" fillId="0" borderId="32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left" vertical="center"/>
    </xf>
    <xf numFmtId="0" fontId="9" fillId="0" borderId="9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/>
    </xf>
    <xf numFmtId="49" fontId="9" fillId="0" borderId="2" xfId="0" quotePrefix="1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/>
    </xf>
    <xf numFmtId="242" fontId="49" fillId="0" borderId="0" xfId="2515" applyNumberFormat="1" applyFont="1" applyAlignment="1">
      <alignment horizontal="left" vertical="center"/>
    </xf>
    <xf numFmtId="242" fontId="49" fillId="0" borderId="0" xfId="2515" applyNumberFormat="1" applyFont="1" applyAlignment="1">
      <alignment horizontal="left" vertical="center"/>
    </xf>
    <xf numFmtId="0" fontId="49" fillId="0" borderId="128" xfId="0" applyFont="1" applyBorder="1" applyAlignment="1">
      <alignment vertical="center"/>
    </xf>
    <xf numFmtId="0" fontId="49" fillId="0" borderId="119" xfId="0" applyFont="1" applyBorder="1" applyAlignment="1">
      <alignment vertical="center"/>
    </xf>
    <xf numFmtId="0" fontId="49" fillId="0" borderId="129" xfId="0" applyFont="1" applyBorder="1" applyAlignment="1">
      <alignment vertical="center"/>
    </xf>
    <xf numFmtId="43" fontId="88" fillId="0" borderId="0" xfId="0" applyNumberFormat="1" applyFont="1" applyAlignment="1">
      <alignment vertical="center"/>
    </xf>
    <xf numFmtId="0" fontId="49" fillId="0" borderId="10" xfId="0" applyFont="1" applyBorder="1" applyAlignment="1">
      <alignment horizontal="center" vertical="center"/>
    </xf>
    <xf numFmtId="242" fontId="49" fillId="0" borderId="0" xfId="2515" applyNumberFormat="1" applyFont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38" fontId="9" fillId="0" borderId="2" xfId="0" applyNumberFormat="1" applyFont="1" applyBorder="1" applyAlignment="1">
      <alignment vertical="center"/>
    </xf>
    <xf numFmtId="246" fontId="88" fillId="0" borderId="0" xfId="0" applyNumberFormat="1" applyFont="1" applyAlignment="1">
      <alignment vertical="center"/>
    </xf>
    <xf numFmtId="0" fontId="114" fillId="0" borderId="0" xfId="0" applyFont="1" applyAlignment="1">
      <alignment horizontal="center" vertical="center"/>
    </xf>
    <xf numFmtId="0" fontId="116" fillId="0" borderId="0" xfId="0" applyFont="1" applyAlignment="1">
      <alignment horizontal="center" vertical="center" wrapText="1"/>
    </xf>
    <xf numFmtId="0" fontId="116" fillId="0" borderId="0" xfId="0" applyFont="1" applyAlignment="1">
      <alignment horizontal="center" vertical="center"/>
    </xf>
    <xf numFmtId="0" fontId="112" fillId="0" borderId="0" xfId="0" applyFont="1" applyAlignment="1">
      <alignment horizontal="center" vertical="center"/>
    </xf>
    <xf numFmtId="0" fontId="113" fillId="0" borderId="0" xfId="0" applyFont="1" applyAlignment="1">
      <alignment horizontal="center" vertical="center"/>
    </xf>
    <xf numFmtId="0" fontId="106" fillId="0" borderId="26" xfId="0" applyFont="1" applyBorder="1" applyAlignment="1">
      <alignment horizontal="center"/>
    </xf>
    <xf numFmtId="0" fontId="106" fillId="0" borderId="33" xfId="0" applyFont="1" applyBorder="1" applyAlignment="1">
      <alignment horizontal="center"/>
    </xf>
    <xf numFmtId="0" fontId="106" fillId="0" borderId="5" xfId="0" applyFont="1" applyBorder="1" applyAlignment="1">
      <alignment horizontal="center"/>
    </xf>
    <xf numFmtId="0" fontId="12" fillId="0" borderId="0" xfId="0" applyFont="1"/>
    <xf numFmtId="0" fontId="119" fillId="0" borderId="26" xfId="0" applyFont="1" applyBorder="1" applyAlignment="1">
      <alignment horizontal="center" vertical="center"/>
    </xf>
    <xf numFmtId="0" fontId="119" fillId="0" borderId="34" xfId="0" applyFont="1" applyBorder="1" applyAlignment="1">
      <alignment horizontal="center" vertical="center"/>
    </xf>
    <xf numFmtId="0" fontId="119" fillId="0" borderId="117" xfId="0" applyFont="1" applyBorder="1" applyAlignment="1">
      <alignment horizontal="center" vertical="center"/>
    </xf>
    <xf numFmtId="0" fontId="119" fillId="0" borderId="36" xfId="0" applyFont="1" applyBorder="1" applyAlignment="1">
      <alignment horizontal="center" vertical="center"/>
    </xf>
    <xf numFmtId="0" fontId="118" fillId="0" borderId="9" xfId="0" applyFont="1" applyBorder="1" applyAlignment="1">
      <alignment horizontal="center" vertical="center"/>
    </xf>
    <xf numFmtId="0" fontId="118" fillId="0" borderId="15" xfId="0" applyFont="1" applyBorder="1" applyAlignment="1">
      <alignment horizontal="center" vertical="center"/>
    </xf>
    <xf numFmtId="0" fontId="12" fillId="0" borderId="2" xfId="0" applyFont="1" applyBorder="1"/>
    <xf numFmtId="0" fontId="10" fillId="0" borderId="32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19" fillId="0" borderId="2" xfId="0" applyFont="1" applyBorder="1" applyAlignment="1">
      <alignment horizontal="center" vertical="center"/>
    </xf>
    <xf numFmtId="0" fontId="119" fillId="0" borderId="0" xfId="0" applyFont="1"/>
    <xf numFmtId="0" fontId="119" fillId="0" borderId="35" xfId="0" applyFont="1" applyBorder="1"/>
    <xf numFmtId="0" fontId="119" fillId="0" borderId="37" xfId="0" applyFont="1" applyBorder="1"/>
    <xf numFmtId="0" fontId="119" fillId="0" borderId="21" xfId="0" applyFont="1" applyBorder="1"/>
    <xf numFmtId="0" fontId="115" fillId="0" borderId="0" xfId="0" applyFont="1" applyAlignment="1">
      <alignment horizontal="center" vertical="center"/>
    </xf>
    <xf numFmtId="0" fontId="0" fillId="0" borderId="0" xfId="0"/>
    <xf numFmtId="0" fontId="88" fillId="0" borderId="131" xfId="0" applyFont="1" applyBorder="1" applyAlignment="1">
      <alignment horizontal="left" vertical="center"/>
    </xf>
    <xf numFmtId="0" fontId="88" fillId="0" borderId="103" xfId="0" applyFont="1" applyBorder="1" applyAlignment="1">
      <alignment horizontal="left" vertical="center"/>
    </xf>
    <xf numFmtId="0" fontId="106" fillId="0" borderId="0" xfId="0" applyFont="1" applyAlignment="1">
      <alignment horizontal="center" vertical="center"/>
    </xf>
    <xf numFmtId="0" fontId="0" fillId="32" borderId="102" xfId="0" applyFill="1" applyBorder="1" applyAlignment="1">
      <alignment horizontal="center" vertical="center"/>
    </xf>
    <xf numFmtId="0" fontId="0" fillId="32" borderId="103" xfId="0" applyFill="1" applyBorder="1" applyAlignment="1">
      <alignment horizontal="center" vertical="center"/>
    </xf>
    <xf numFmtId="0" fontId="0" fillId="32" borderId="104" xfId="0" applyFill="1" applyBorder="1" applyAlignment="1">
      <alignment horizontal="center" vertical="center"/>
    </xf>
    <xf numFmtId="0" fontId="0" fillId="0" borderId="2" xfId="0" applyBorder="1"/>
    <xf numFmtId="0" fontId="0" fillId="0" borderId="105" xfId="0" applyBorder="1"/>
    <xf numFmtId="0" fontId="0" fillId="0" borderId="90" xfId="0" applyBorder="1"/>
    <xf numFmtId="0" fontId="0" fillId="0" borderId="94" xfId="0" applyBorder="1"/>
    <xf numFmtId="0" fontId="0" fillId="0" borderId="101" xfId="0" applyBorder="1"/>
    <xf numFmtId="0" fontId="0" fillId="0" borderId="32" xfId="0" applyBorder="1"/>
    <xf numFmtId="0" fontId="0" fillId="0" borderId="9" xfId="0" applyBorder="1"/>
    <xf numFmtId="0" fontId="0" fillId="0" borderId="96" xfId="0" applyBorder="1"/>
    <xf numFmtId="0" fontId="131" fillId="0" borderId="0" xfId="2526" applyFont="1" applyAlignment="1">
      <alignment horizontal="center" vertical="center"/>
    </xf>
    <xf numFmtId="238" fontId="90" fillId="0" borderId="0" xfId="2513" applyNumberFormat="1" applyFont="1" applyAlignment="1">
      <alignment horizontal="right" vertical="center"/>
    </xf>
    <xf numFmtId="0" fontId="88" fillId="31" borderId="10" xfId="2513" applyFont="1" applyFill="1" applyBorder="1" applyAlignment="1">
      <alignment horizontal="center" vertical="center"/>
    </xf>
    <xf numFmtId="0" fontId="88" fillId="31" borderId="53" xfId="2513" applyFont="1" applyFill="1" applyBorder="1" applyAlignment="1">
      <alignment horizontal="center" vertical="center"/>
    </xf>
    <xf numFmtId="0" fontId="88" fillId="31" borderId="128" xfId="2513" applyFont="1" applyFill="1" applyBorder="1" applyAlignment="1">
      <alignment horizontal="center" vertical="center"/>
    </xf>
    <xf numFmtId="0" fontId="88" fillId="31" borderId="129" xfId="2513" applyFont="1" applyFill="1" applyBorder="1" applyAlignment="1">
      <alignment horizontal="center" vertical="center"/>
    </xf>
    <xf numFmtId="176" fontId="88" fillId="31" borderId="10" xfId="2513" applyNumberFormat="1" applyFont="1" applyFill="1" applyBorder="1" applyAlignment="1">
      <alignment horizontal="center" vertical="center"/>
    </xf>
    <xf numFmtId="176" fontId="88" fillId="31" borderId="53" xfId="2513" applyNumberFormat="1" applyFont="1" applyFill="1" applyBorder="1" applyAlignment="1">
      <alignment horizontal="center" vertical="center"/>
    </xf>
    <xf numFmtId="0" fontId="88" fillId="31" borderId="36" xfId="2513" applyFont="1" applyFill="1" applyBorder="1" applyAlignment="1">
      <alignment horizontal="center" vertical="center"/>
    </xf>
    <xf numFmtId="0" fontId="88" fillId="31" borderId="21" xfId="2513" applyFont="1" applyFill="1" applyBorder="1" applyAlignment="1">
      <alignment horizontal="center" vertical="center"/>
    </xf>
    <xf numFmtId="0" fontId="88" fillId="0" borderId="36" xfId="2513" applyFont="1" applyBorder="1" applyAlignment="1">
      <alignment horizontal="center" vertical="center"/>
    </xf>
    <xf numFmtId="0" fontId="88" fillId="0" borderId="21" xfId="2513" applyFont="1" applyBorder="1" applyAlignment="1">
      <alignment horizontal="center" vertical="center"/>
    </xf>
    <xf numFmtId="0" fontId="88" fillId="0" borderId="10" xfId="2513" applyFont="1" applyBorder="1" applyAlignment="1">
      <alignment horizontal="center" vertical="center"/>
    </xf>
    <xf numFmtId="0" fontId="88" fillId="0" borderId="53" xfId="2513" applyFont="1" applyBorder="1" applyAlignment="1">
      <alignment horizontal="center" vertical="center"/>
    </xf>
    <xf numFmtId="0" fontId="88" fillId="0" borderId="128" xfId="2513" applyFont="1" applyBorder="1" applyAlignment="1">
      <alignment horizontal="center" vertical="center"/>
    </xf>
    <xf numFmtId="0" fontId="88" fillId="0" borderId="129" xfId="2513" applyFont="1" applyBorder="1" applyAlignment="1">
      <alignment horizontal="center" vertical="center"/>
    </xf>
    <xf numFmtId="0" fontId="88" fillId="0" borderId="117" xfId="2513" applyFont="1" applyBorder="1" applyAlignment="1">
      <alignment horizontal="center" vertical="center"/>
    </xf>
    <xf numFmtId="0" fontId="88" fillId="0" borderId="35" xfId="2513" applyFont="1" applyBorder="1" applyAlignment="1">
      <alignment horizontal="center" vertical="center"/>
    </xf>
    <xf numFmtId="41" fontId="88" fillId="0" borderId="10" xfId="2422" applyFont="1" applyBorder="1" applyAlignment="1">
      <alignment horizontal="center" vertical="center"/>
    </xf>
    <xf numFmtId="0" fontId="88" fillId="0" borderId="54" xfId="0" applyFont="1" applyBorder="1" applyAlignment="1">
      <alignment vertical="center"/>
    </xf>
    <xf numFmtId="0" fontId="88" fillId="0" borderId="53" xfId="0" applyFont="1" applyBorder="1" applyAlignment="1">
      <alignment vertical="center"/>
    </xf>
    <xf numFmtId="0" fontId="88" fillId="0" borderId="54" xfId="0" applyFont="1" applyBorder="1" applyAlignment="1">
      <alignment horizontal="center" vertical="center" wrapText="1"/>
    </xf>
    <xf numFmtId="0" fontId="88" fillId="0" borderId="53" xfId="0" applyFont="1" applyBorder="1" applyAlignment="1">
      <alignment horizontal="center" vertical="center" wrapText="1"/>
    </xf>
    <xf numFmtId="177" fontId="9" fillId="0" borderId="10" xfId="2430" applyNumberFormat="1" applyFont="1" applyFill="1" applyBorder="1" applyAlignment="1">
      <alignment horizontal="center" vertical="center" shrinkToFit="1"/>
    </xf>
    <xf numFmtId="177" fontId="9" fillId="0" borderId="53" xfId="2430" applyNumberFormat="1" applyFont="1" applyFill="1" applyBorder="1" applyAlignment="1">
      <alignment horizontal="center" vertical="center" shrinkToFit="1"/>
    </xf>
    <xf numFmtId="0" fontId="49" fillId="33" borderId="2" xfId="0" applyFont="1" applyFill="1" applyBorder="1" applyAlignment="1">
      <alignment horizontal="center" vertical="center"/>
    </xf>
    <xf numFmtId="0" fontId="49" fillId="33" borderId="10" xfId="0" applyFont="1" applyFill="1" applyBorder="1" applyAlignment="1">
      <alignment horizontal="center" vertical="center"/>
    </xf>
    <xf numFmtId="0" fontId="12" fillId="0" borderId="2" xfId="0" applyFont="1" applyBorder="1" applyAlignment="1">
      <alignment vertical="center"/>
    </xf>
    <xf numFmtId="0" fontId="12" fillId="0" borderId="32" xfId="0" applyFont="1" applyBorder="1" applyAlignment="1">
      <alignment vertical="center"/>
    </xf>
    <xf numFmtId="0" fontId="12" fillId="0" borderId="15" xfId="0" applyFont="1" applyBorder="1" applyAlignment="1">
      <alignment vertical="center"/>
    </xf>
    <xf numFmtId="0" fontId="12" fillId="0" borderId="10" xfId="0" applyFont="1" applyBorder="1" applyAlignment="1">
      <alignment vertical="center" textRotation="255"/>
    </xf>
    <xf numFmtId="0" fontId="12" fillId="0" borderId="54" xfId="0" applyFont="1" applyBorder="1" applyAlignment="1">
      <alignment vertical="center" textRotation="255"/>
    </xf>
    <xf numFmtId="0" fontId="12" fillId="0" borderId="53" xfId="0" applyFont="1" applyBorder="1" applyAlignment="1">
      <alignment vertical="center" textRotation="255"/>
    </xf>
    <xf numFmtId="0" fontId="12" fillId="33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18" fillId="0" borderId="2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53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41" fontId="88" fillId="0" borderId="53" xfId="2422" applyFont="1" applyBorder="1" applyAlignment="1">
      <alignment horizontal="center" vertical="center"/>
    </xf>
    <xf numFmtId="0" fontId="12" fillId="33" borderId="32" xfId="2513" applyFont="1" applyFill="1" applyBorder="1" applyAlignment="1">
      <alignment horizontal="center" vertical="center"/>
    </xf>
    <xf numFmtId="0" fontId="12" fillId="33" borderId="15" xfId="2513" applyFont="1" applyFill="1" applyBorder="1" applyAlignment="1">
      <alignment horizontal="center" vertical="center"/>
    </xf>
    <xf numFmtId="0" fontId="49" fillId="0" borderId="2" xfId="0" applyFont="1" applyBorder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0" fontId="49" fillId="0" borderId="53" xfId="0" applyFont="1" applyBorder="1" applyAlignment="1">
      <alignment horizontal="center" vertical="center"/>
    </xf>
    <xf numFmtId="0" fontId="49" fillId="0" borderId="2" xfId="0" applyFont="1" applyBorder="1" applyAlignment="1">
      <alignment vertical="center"/>
    </xf>
    <xf numFmtId="0" fontId="49" fillId="32" borderId="2" xfId="0" applyFont="1" applyFill="1" applyBorder="1" applyAlignment="1">
      <alignment horizontal="center" vertical="center"/>
    </xf>
    <xf numFmtId="0" fontId="49" fillId="33" borderId="53" xfId="0" applyFont="1" applyFill="1" applyBorder="1" applyAlignment="1">
      <alignment horizontal="center" vertical="center"/>
    </xf>
    <xf numFmtId="0" fontId="0" fillId="0" borderId="37" xfId="0" applyBorder="1" applyAlignment="1">
      <alignment horizontal="center"/>
    </xf>
    <xf numFmtId="0" fontId="49" fillId="32" borderId="32" xfId="2513" applyFont="1" applyFill="1" applyBorder="1" applyAlignment="1">
      <alignment horizontal="center" vertical="center"/>
    </xf>
    <xf numFmtId="0" fontId="49" fillId="32" borderId="15" xfId="2513" applyFont="1" applyFill="1" applyBorder="1" applyAlignment="1">
      <alignment horizontal="center" vertical="center"/>
    </xf>
    <xf numFmtId="0" fontId="106" fillId="0" borderId="3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122" fillId="0" borderId="37" xfId="0" applyFont="1" applyBorder="1" applyAlignment="1">
      <alignment horizontal="left" vertical="center"/>
    </xf>
    <xf numFmtId="0" fontId="122" fillId="0" borderId="21" xfId="0" applyFont="1" applyBorder="1" applyAlignment="1">
      <alignment horizontal="left" vertical="center"/>
    </xf>
    <xf numFmtId="0" fontId="123" fillId="0" borderId="0" xfId="0" applyFont="1" applyAlignment="1">
      <alignment horizontal="center" vertical="center"/>
    </xf>
    <xf numFmtId="2" fontId="54" fillId="0" borderId="0" xfId="0" applyNumberFormat="1" applyFont="1" applyAlignment="1">
      <alignment horizontal="center" vertical="center"/>
    </xf>
    <xf numFmtId="179" fontId="54" fillId="0" borderId="0" xfId="0" applyNumberFormat="1" applyFont="1" applyAlignment="1">
      <alignment horizontal="center" vertical="center"/>
    </xf>
    <xf numFmtId="0" fontId="124" fillId="0" borderId="0" xfId="0" applyFont="1" applyAlignment="1">
      <alignment horizontal="center" vertical="center"/>
    </xf>
    <xf numFmtId="0" fontId="54" fillId="0" borderId="26" xfId="0" applyFont="1" applyBorder="1" applyAlignment="1">
      <alignment horizontal="left" vertical="center"/>
    </xf>
    <xf numFmtId="0" fontId="54" fillId="0" borderId="33" xfId="0" applyFont="1" applyBorder="1" applyAlignment="1">
      <alignment horizontal="left" vertical="center"/>
    </xf>
    <xf numFmtId="0" fontId="54" fillId="0" borderId="5" xfId="0" applyFont="1" applyBorder="1" applyAlignment="1">
      <alignment horizontal="left" vertical="center"/>
    </xf>
    <xf numFmtId="0" fontId="54" fillId="0" borderId="0" xfId="0" applyFont="1" applyAlignment="1">
      <alignment horizontal="center" vertical="center"/>
    </xf>
    <xf numFmtId="0" fontId="49" fillId="0" borderId="128" xfId="0" applyFont="1" applyBorder="1" applyAlignment="1">
      <alignment vertical="center"/>
    </xf>
    <xf numFmtId="0" fontId="49" fillId="0" borderId="119" xfId="0" applyFont="1" applyBorder="1" applyAlignment="1">
      <alignment vertical="center"/>
    </xf>
    <xf numFmtId="0" fontId="49" fillId="0" borderId="129" xfId="0" applyFont="1" applyBorder="1" applyAlignment="1">
      <alignment vertical="center"/>
    </xf>
    <xf numFmtId="242" fontId="49" fillId="0" borderId="37" xfId="2515" applyNumberFormat="1" applyFont="1" applyBorder="1" applyAlignment="1">
      <alignment horizontal="left" vertical="center"/>
    </xf>
    <xf numFmtId="242" fontId="49" fillId="0" borderId="0" xfId="2515" applyNumberFormat="1" applyFont="1" applyAlignment="1">
      <alignment horizontal="left" vertical="center"/>
    </xf>
    <xf numFmtId="0" fontId="108" fillId="0" borderId="26" xfId="0" applyFont="1" applyBorder="1" applyAlignment="1">
      <alignment horizontal="center" vertical="center"/>
    </xf>
    <xf numFmtId="0" fontId="108" fillId="0" borderId="33" xfId="0" applyFont="1" applyBorder="1" applyAlignment="1">
      <alignment horizontal="center" vertical="center"/>
    </xf>
    <xf numFmtId="0" fontId="108" fillId="0" borderId="5" xfId="0" applyFont="1" applyBorder="1" applyAlignment="1">
      <alignment horizontal="center" vertical="center"/>
    </xf>
    <xf numFmtId="0" fontId="0" fillId="33" borderId="2" xfId="0" applyFill="1" applyBorder="1" applyAlignment="1">
      <alignment horizontal="center" vertical="center"/>
    </xf>
    <xf numFmtId="0" fontId="136" fillId="0" borderId="0" xfId="2529" applyFont="1" applyAlignment="1">
      <alignment horizontal="center" vertical="center"/>
    </xf>
    <xf numFmtId="0" fontId="135" fillId="0" borderId="0" xfId="2529"/>
    <xf numFmtId="244" fontId="137" fillId="0" borderId="32" xfId="2529" applyNumberFormat="1" applyFont="1" applyBorder="1" applyAlignment="1">
      <alignment horizontal="center" vertical="center"/>
    </xf>
    <xf numFmtId="244" fontId="137" fillId="0" borderId="9" xfId="2529" applyNumberFormat="1" applyFont="1" applyBorder="1" applyAlignment="1">
      <alignment horizontal="center" vertical="center"/>
    </xf>
    <xf numFmtId="0" fontId="7" fillId="0" borderId="37" xfId="0" applyFont="1" applyBorder="1" applyAlignment="1">
      <alignment horizontal="left" vertical="center"/>
    </xf>
    <xf numFmtId="41" fontId="9" fillId="33" borderId="32" xfId="2422" applyFont="1" applyFill="1" applyBorder="1" applyAlignment="1">
      <alignment horizontal="center" vertical="center"/>
    </xf>
    <xf numFmtId="41" fontId="9" fillId="33" borderId="15" xfId="2422" applyFont="1" applyFill="1" applyBorder="1" applyAlignment="1">
      <alignment horizontal="center" vertical="center"/>
    </xf>
    <xf numFmtId="41" fontId="9" fillId="33" borderId="9" xfId="2422" applyFont="1" applyFill="1" applyBorder="1" applyAlignment="1">
      <alignment horizontal="center" vertical="center"/>
    </xf>
    <xf numFmtId="0" fontId="9" fillId="33" borderId="32" xfId="0" applyFont="1" applyFill="1" applyBorder="1" applyAlignment="1">
      <alignment horizontal="center" vertical="center"/>
    </xf>
    <xf numFmtId="0" fontId="9" fillId="33" borderId="15" xfId="0" applyFont="1" applyFill="1" applyBorder="1" applyAlignment="1">
      <alignment horizontal="center" vertical="center"/>
    </xf>
    <xf numFmtId="0" fontId="9" fillId="0" borderId="37" xfId="0" applyFont="1" applyBorder="1" applyAlignment="1">
      <alignment horizontal="right" vertical="center"/>
    </xf>
    <xf numFmtId="41" fontId="11" fillId="33" borderId="32" xfId="2422" applyFont="1" applyFill="1" applyBorder="1" applyAlignment="1">
      <alignment horizontal="center" vertical="center"/>
    </xf>
    <xf numFmtId="41" fontId="11" fillId="33" borderId="9" xfId="2422" applyFont="1" applyFill="1" applyBorder="1" applyAlignment="1">
      <alignment horizontal="center" vertical="center"/>
    </xf>
    <xf numFmtId="41" fontId="11" fillId="33" borderId="15" xfId="2422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1" fontId="0" fillId="0" borderId="0" xfId="0" applyNumberFormat="1"/>
    <xf numFmtId="0" fontId="1" fillId="0" borderId="0" xfId="0" applyFont="1"/>
    <xf numFmtId="41" fontId="0" fillId="0" borderId="0" xfId="0" applyNumberFormat="1" applyAlignment="1">
      <alignment shrinkToFit="1"/>
    </xf>
    <xf numFmtId="0" fontId="0" fillId="0" borderId="0" xfId="0" applyAlignment="1">
      <alignment shrinkToFit="1"/>
    </xf>
    <xf numFmtId="41" fontId="0" fillId="0" borderId="0" xfId="2422" applyFont="1" applyAlignment="1">
      <alignment shrinkToFit="1"/>
    </xf>
    <xf numFmtId="41" fontId="0" fillId="0" borderId="0" xfId="2422" applyFont="1"/>
    <xf numFmtId="41" fontId="5" fillId="0" borderId="0" xfId="0" applyNumberFormat="1" applyFont="1"/>
    <xf numFmtId="0" fontId="5" fillId="0" borderId="0" xfId="0" applyFont="1"/>
  </cellXfs>
  <cellStyles count="2574">
    <cellStyle name="$" xfId="1" xr:uid="{00000000-0005-0000-0000-000000000000}"/>
    <cellStyle name="$_2001년 9월" xfId="2" xr:uid="{00000000-0005-0000-0000-000001000000}"/>
    <cellStyle name="$_2001년 9월 일위" xfId="3" xr:uid="{00000000-0005-0000-0000-000002000000}"/>
    <cellStyle name="$_2001년7월내역" xfId="4" xr:uid="{00000000-0005-0000-0000-000003000000}"/>
    <cellStyle name="$_2001년8월내역" xfId="5" xr:uid="{00000000-0005-0000-0000-000004000000}"/>
    <cellStyle name="$_2002년 설치" xfId="6" xr:uid="{00000000-0005-0000-0000-000005000000}"/>
    <cellStyle name="$_2002년 합판거푸집" xfId="7" xr:uid="{00000000-0005-0000-0000-000006000000}"/>
    <cellStyle name="$_2002년2,3월" xfId="8" xr:uid="{00000000-0005-0000-0000-000007000000}"/>
    <cellStyle name="$_db진흥" xfId="9" xr:uid="{00000000-0005-0000-0000-000008000000}"/>
    <cellStyle name="$_SE40" xfId="10" xr:uid="{00000000-0005-0000-0000-000009000000}"/>
    <cellStyle name="$_견적2" xfId="11" xr:uid="{00000000-0005-0000-0000-00000A000000}"/>
    <cellStyle name="$_결재(관동취입보)" xfId="12" xr:uid="{00000000-0005-0000-0000-00000B000000}"/>
    <cellStyle name="$_공사비2001-06" xfId="13" xr:uid="{00000000-0005-0000-0000-00000C000000}"/>
    <cellStyle name="$_공사비2001-07" xfId="14" xr:uid="{00000000-0005-0000-0000-00000D000000}"/>
    <cellStyle name="$_금계공사비" xfId="15" xr:uid="{00000000-0005-0000-0000-00000E000000}"/>
    <cellStyle name="$_기아" xfId="16" xr:uid="{00000000-0005-0000-0000-00000F000000}"/>
    <cellStyle name="$_남광TS-60B(둔기교)" xfId="17" xr:uid="{00000000-0005-0000-0000-000010000000}"/>
    <cellStyle name="$_내역표지" xfId="18" xr:uid="{00000000-0005-0000-0000-000011000000}"/>
    <cellStyle name="$_보성회령제사통-변경1" xfId="19" xr:uid="{00000000-0005-0000-0000-000012000000}"/>
    <cellStyle name="$_세풍승인" xfId="20" xr:uid="{00000000-0005-0000-0000-000013000000}"/>
    <cellStyle name="$_순천구룡" xfId="21" xr:uid="{00000000-0005-0000-0000-000014000000}"/>
    <cellStyle name="$_순천지부구룡해룡" xfId="22" xr:uid="{00000000-0005-0000-0000-000015000000}"/>
    <cellStyle name="$_장흥광평양수장" xfId="23" xr:uid="{00000000-0005-0000-0000-000016000000}"/>
    <cellStyle name="$_전북 용산지구 다단 21×1.2-2련(020417)" xfId="24" xr:uid="{00000000-0005-0000-0000-000017000000}"/>
    <cellStyle name="$_진도 보전지구" xfId="25" xr:uid="{00000000-0005-0000-0000-000018000000}"/>
    <cellStyle name="$_취입보기계공사비" xfId="26" xr:uid="{00000000-0005-0000-0000-000019000000}"/>
    <cellStyle name="$_합판거푸집" xfId="27" xr:uid="{00000000-0005-0000-0000-00001A000000}"/>
    <cellStyle name="??&amp;O?&amp;H?_x0008__x000f__x0007_?_x0007__x0001__x0001_" xfId="28" xr:uid="{00000000-0005-0000-0000-00001B000000}"/>
    <cellStyle name="??&amp;O?&amp;H?_x0008_??_x0007__x0001__x0001_" xfId="29" xr:uid="{00000000-0005-0000-0000-00001C000000}"/>
    <cellStyle name="?W?_laroux" xfId="30" xr:uid="{00000000-0005-0000-0000-00001D000000}"/>
    <cellStyle name="_03견적총괄" xfId="31" xr:uid="{00000000-0005-0000-0000-00001E000000}"/>
    <cellStyle name="_08정암보완추가단가" xfId="32" xr:uid="{00000000-0005-0000-0000-00001F000000}"/>
    <cellStyle name="_1.역T형옹벽(변경)" xfId="33" xr:uid="{00000000-0005-0000-0000-000020000000}"/>
    <cellStyle name="_1공구수량" xfId="34" xr:uid="{00000000-0005-0000-0000-000021000000}"/>
    <cellStyle name="_1공구수량_1.역T형옹벽(변경)" xfId="35" xr:uid="{00000000-0005-0000-0000-000022000000}"/>
    <cellStyle name="_1공구수량_2.역T형옹벽(변경)" xfId="36" xr:uid="{00000000-0005-0000-0000-000023000000}"/>
    <cellStyle name="_2.역T형옹벽(변경)" xfId="37" xr:uid="{00000000-0005-0000-0000-000024000000}"/>
    <cellStyle name="_2004년 공원시설정비공사" xfId="38" xr:uid="{00000000-0005-0000-0000-000025000000}"/>
    <cellStyle name="_Book1" xfId="39" xr:uid="{00000000-0005-0000-0000-000026000000}"/>
    <cellStyle name="_Book1_1.역T형옹벽(변경)" xfId="40" xr:uid="{00000000-0005-0000-0000-000027000000}"/>
    <cellStyle name="_Book1_2.역T형옹벽(변경)" xfId="41" xr:uid="{00000000-0005-0000-0000-000028000000}"/>
    <cellStyle name="_Book1_호안공" xfId="42" xr:uid="{00000000-0005-0000-0000-000029000000}"/>
    <cellStyle name="_Book1_호안공_1.역T형옹벽(변경)" xfId="43" xr:uid="{00000000-0005-0000-0000-00002A000000}"/>
    <cellStyle name="_Book1_호안공_2.역T형옹벽(변경)" xfId="44" xr:uid="{00000000-0005-0000-0000-00002B000000}"/>
    <cellStyle name="_Book2" xfId="45" xr:uid="{00000000-0005-0000-0000-00002C000000}"/>
    <cellStyle name="_Book2_1.역T형옹벽(변경)" xfId="46" xr:uid="{00000000-0005-0000-0000-00002D000000}"/>
    <cellStyle name="_Book2_1공구수량" xfId="47" xr:uid="{00000000-0005-0000-0000-00002E000000}"/>
    <cellStyle name="_Book2_1공구수량_1.역T형옹벽(변경)" xfId="48" xr:uid="{00000000-0005-0000-0000-00002F000000}"/>
    <cellStyle name="_Book2_1공구수량_2.역T형옹벽(변경)" xfId="49" xr:uid="{00000000-0005-0000-0000-000030000000}"/>
    <cellStyle name="_Book2_2.역T형옹벽(변경)" xfId="50" xr:uid="{00000000-0005-0000-0000-000031000000}"/>
    <cellStyle name="_Book2_깨기수량" xfId="51" xr:uid="{00000000-0005-0000-0000-000032000000}"/>
    <cellStyle name="_Book2_깨기수량_1.역T형옹벽(변경)" xfId="52" xr:uid="{00000000-0005-0000-0000-000033000000}"/>
    <cellStyle name="_Book2_깨기수량_2.역T형옹벽(변경)" xfId="53" xr:uid="{00000000-0005-0000-0000-000034000000}"/>
    <cellStyle name="_Book2_집계표" xfId="54" xr:uid="{00000000-0005-0000-0000-000035000000}"/>
    <cellStyle name="_Book2_집계표_1.역T형옹벽(변경)" xfId="55" xr:uid="{00000000-0005-0000-0000-000036000000}"/>
    <cellStyle name="_Book2_집계표_1공구수량" xfId="56" xr:uid="{00000000-0005-0000-0000-000037000000}"/>
    <cellStyle name="_Book2_집계표_1공구수량_1.역T형옹벽(변경)" xfId="57" xr:uid="{00000000-0005-0000-0000-000038000000}"/>
    <cellStyle name="_Book2_집계표_1공구수량_2.역T형옹벽(변경)" xfId="58" xr:uid="{00000000-0005-0000-0000-000039000000}"/>
    <cellStyle name="_Book2_집계표_2.역T형옹벽(변경)" xfId="59" xr:uid="{00000000-0005-0000-0000-00003A000000}"/>
    <cellStyle name="_Book2_집계표_깨기수량" xfId="60" xr:uid="{00000000-0005-0000-0000-00003B000000}"/>
    <cellStyle name="_Book2_집계표_깨기수량_1.역T형옹벽(변경)" xfId="61" xr:uid="{00000000-0005-0000-0000-00003C000000}"/>
    <cellStyle name="_Book2_집계표_깨기수량_2.역T형옹벽(변경)" xfId="62" xr:uid="{00000000-0005-0000-0000-00003D000000}"/>
    <cellStyle name="_Book2_집계표_호안공" xfId="63" xr:uid="{00000000-0005-0000-0000-00003E000000}"/>
    <cellStyle name="_Book2_집계표_호안공_1.역T형옹벽(변경)" xfId="64" xr:uid="{00000000-0005-0000-0000-00003F000000}"/>
    <cellStyle name="_Book2_집계표_호안공_2.역T형옹벽(변경)" xfId="65" xr:uid="{00000000-0005-0000-0000-000040000000}"/>
    <cellStyle name="_Book2_호안공" xfId="66" xr:uid="{00000000-0005-0000-0000-000041000000}"/>
    <cellStyle name="_Book2_호안공_1.역T형옹벽(변경)" xfId="67" xr:uid="{00000000-0005-0000-0000-000042000000}"/>
    <cellStyle name="_Book2_호안공_2.역T형옹벽(변경)" xfId="68" xr:uid="{00000000-0005-0000-0000-000043000000}"/>
    <cellStyle name="_RESULTS" xfId="69" xr:uid="{00000000-0005-0000-0000-000044000000}"/>
    <cellStyle name="_갈전리2공구수량" xfId="70" xr:uid="{00000000-0005-0000-0000-000045000000}"/>
    <cellStyle name="_갈전리2공구수량_1.역T형옹벽(변경)" xfId="71" xr:uid="{00000000-0005-0000-0000-000046000000}"/>
    <cellStyle name="_갈전리2공구수량_1공구수량" xfId="72" xr:uid="{00000000-0005-0000-0000-000047000000}"/>
    <cellStyle name="_갈전리2공구수량_1공구수량_1.역T형옹벽(변경)" xfId="73" xr:uid="{00000000-0005-0000-0000-000048000000}"/>
    <cellStyle name="_갈전리2공구수량_1공구수량_2.역T형옹벽(변경)" xfId="74" xr:uid="{00000000-0005-0000-0000-000049000000}"/>
    <cellStyle name="_갈전리2공구수량_2.역T형옹벽(변경)" xfId="75" xr:uid="{00000000-0005-0000-0000-00004A000000}"/>
    <cellStyle name="_갈전리2공구수량_깨기수량" xfId="76" xr:uid="{00000000-0005-0000-0000-00004B000000}"/>
    <cellStyle name="_갈전리2공구수량_깨기수량_1.역T형옹벽(변경)" xfId="77" xr:uid="{00000000-0005-0000-0000-00004C000000}"/>
    <cellStyle name="_갈전리2공구수량_깨기수량_2.역T형옹벽(변경)" xfId="78" xr:uid="{00000000-0005-0000-0000-00004D000000}"/>
    <cellStyle name="_갈전리2공구수량_호안공" xfId="79" xr:uid="{00000000-0005-0000-0000-00004E000000}"/>
    <cellStyle name="_갈전리2공구수량_호안공_1.역T형옹벽(변경)" xfId="80" xr:uid="{00000000-0005-0000-0000-00004F000000}"/>
    <cellStyle name="_갈전리2공구수량_호안공_2.역T형옹벽(변경)" xfId="81" xr:uid="{00000000-0005-0000-0000-000050000000}"/>
    <cellStyle name="_계룡네거리원설계" xfId="82" xr:uid="{00000000-0005-0000-0000-000051000000}"/>
    <cellStyle name="_공문 " xfId="83" xr:uid="{00000000-0005-0000-0000-000052000000}"/>
    <cellStyle name="_공문 _내역서" xfId="84" xr:uid="{00000000-0005-0000-0000-000053000000}"/>
    <cellStyle name="_공문양식" xfId="85" xr:uid="{00000000-0005-0000-0000-000054000000}"/>
    <cellStyle name="_공원내 체육시설물확충 및 정비공사" xfId="86" xr:uid="{00000000-0005-0000-0000-000055000000}"/>
    <cellStyle name="_공원시설정비공사" xfId="87" xr:uid="{00000000-0005-0000-0000-000056000000}"/>
    <cellStyle name="_공주대학교파고라" xfId="88" xr:uid="{00000000-0005-0000-0000-000057000000}"/>
    <cellStyle name="_구즉내역서" xfId="89" xr:uid="{00000000-0005-0000-0000-000058000000}"/>
    <cellStyle name="_기성검사원" xfId="90" xr:uid="{00000000-0005-0000-0000-000059000000}"/>
    <cellStyle name="_기성검사원_내역서" xfId="91" xr:uid="{00000000-0005-0000-0000-00005A000000}"/>
    <cellStyle name="_기초단가" xfId="92" xr:uid="{00000000-0005-0000-0000-00005B000000}"/>
    <cellStyle name="_김문수" xfId="93" xr:uid="{00000000-0005-0000-0000-00005C000000}"/>
    <cellStyle name="_김호동(등산로정비)" xfId="94" xr:uid="{00000000-0005-0000-0000-00005D000000}"/>
    <cellStyle name="_깨기" xfId="95" xr:uid="{00000000-0005-0000-0000-00005E000000}"/>
    <cellStyle name="_깨기_1.역T형옹벽(변경)" xfId="96" xr:uid="{00000000-0005-0000-0000-00005F000000}"/>
    <cellStyle name="_깨기_1공구수량" xfId="97" xr:uid="{00000000-0005-0000-0000-000060000000}"/>
    <cellStyle name="_깨기_1공구수량_1.역T형옹벽(변경)" xfId="98" xr:uid="{00000000-0005-0000-0000-000061000000}"/>
    <cellStyle name="_깨기_1공구수량_2.역T형옹벽(변경)" xfId="99" xr:uid="{00000000-0005-0000-0000-000062000000}"/>
    <cellStyle name="_깨기_2.역T형옹벽(변경)" xfId="100" xr:uid="{00000000-0005-0000-0000-000063000000}"/>
    <cellStyle name="_깨기_깨기수량" xfId="101" xr:uid="{00000000-0005-0000-0000-000064000000}"/>
    <cellStyle name="_깨기_깨기수량_1.역T형옹벽(변경)" xfId="102" xr:uid="{00000000-0005-0000-0000-000065000000}"/>
    <cellStyle name="_깨기_깨기수량_2.역T형옹벽(변경)" xfId="103" xr:uid="{00000000-0005-0000-0000-000066000000}"/>
    <cellStyle name="_깨기_호안공" xfId="104" xr:uid="{00000000-0005-0000-0000-000067000000}"/>
    <cellStyle name="_깨기_호안공_1.역T형옹벽(변경)" xfId="105" xr:uid="{00000000-0005-0000-0000-000068000000}"/>
    <cellStyle name="_깨기_호안공_2.역T형옹벽(변경)" xfId="106" xr:uid="{00000000-0005-0000-0000-000069000000}"/>
    <cellStyle name="_깨기수량" xfId="107" xr:uid="{00000000-0005-0000-0000-00006A000000}"/>
    <cellStyle name="_깨기수량_1.역T형옹벽(변경)" xfId="108" xr:uid="{00000000-0005-0000-0000-00006B000000}"/>
    <cellStyle name="_깨기수량_2.역T형옹벽(변경)" xfId="109" xr:uid="{00000000-0005-0000-0000-00006C000000}"/>
    <cellStyle name="_내역서" xfId="110" xr:uid="{00000000-0005-0000-0000-00006D000000}"/>
    <cellStyle name="_노은근린공원체육시설" xfId="111" xr:uid="{00000000-0005-0000-0000-00006E000000}"/>
    <cellStyle name="_단가2월" xfId="112" xr:uid="{00000000-0005-0000-0000-00006F000000}"/>
    <cellStyle name="_단가산출" xfId="113" xr:uid="{00000000-0005-0000-0000-000070000000}"/>
    <cellStyle name="_도로공사대전지사" xfId="114" xr:uid="{00000000-0005-0000-0000-000071000000}"/>
    <cellStyle name="_동원꽃농원" xfId="115" xr:uid="{00000000-0005-0000-0000-000072000000}"/>
    <cellStyle name="_등산로 보수공사" xfId="116" xr:uid="{00000000-0005-0000-0000-000073000000}"/>
    <cellStyle name="_마을마당 및 도로변 경관조성 내역서" xfId="117" xr:uid="{00000000-0005-0000-0000-000074000000}"/>
    <cellStyle name="_망향휴게소조경시설물설치공사" xfId="118" xr:uid="{00000000-0005-0000-0000-000075000000}"/>
    <cellStyle name="_목재경계목" xfId="119" xr:uid="{00000000-0005-0000-0000-000076000000}"/>
    <cellStyle name="_방동" xfId="120" xr:uid="{00000000-0005-0000-0000-000077000000}"/>
    <cellStyle name="_방동_03구조~1" xfId="121" xr:uid="{00000000-0005-0000-0000-000078000000}"/>
    <cellStyle name="_방동_03구조~1_1.역T형옹벽(변경)" xfId="122" xr:uid="{00000000-0005-0000-0000-000079000000}"/>
    <cellStyle name="_방동_03구조~1_1공구수량" xfId="123" xr:uid="{00000000-0005-0000-0000-00007A000000}"/>
    <cellStyle name="_방동_03구조~1_1공구수량_1.역T형옹벽(변경)" xfId="124" xr:uid="{00000000-0005-0000-0000-00007B000000}"/>
    <cellStyle name="_방동_03구조~1_1공구수량_2.역T형옹벽(변경)" xfId="125" xr:uid="{00000000-0005-0000-0000-00007C000000}"/>
    <cellStyle name="_방동_03구조~1_2.역T형옹벽(변경)" xfId="126" xr:uid="{00000000-0005-0000-0000-00007D000000}"/>
    <cellStyle name="_방동_03구조~1_Book1" xfId="127" xr:uid="{00000000-0005-0000-0000-00007E000000}"/>
    <cellStyle name="_방동_03구조~1_Book1_1.역T형옹벽(변경)" xfId="128" xr:uid="{00000000-0005-0000-0000-00007F000000}"/>
    <cellStyle name="_방동_03구조~1_Book1_2.역T형옹벽(변경)" xfId="129" xr:uid="{00000000-0005-0000-0000-000080000000}"/>
    <cellStyle name="_방동_03구조~1_Book1_호안공" xfId="130" xr:uid="{00000000-0005-0000-0000-000081000000}"/>
    <cellStyle name="_방동_03구조~1_Book1_호안공_1.역T형옹벽(변경)" xfId="131" xr:uid="{00000000-0005-0000-0000-000082000000}"/>
    <cellStyle name="_방동_03구조~1_Book1_호안공_2.역T형옹벽(변경)" xfId="132" xr:uid="{00000000-0005-0000-0000-000083000000}"/>
    <cellStyle name="_방동_03구조~1_Book2" xfId="133" xr:uid="{00000000-0005-0000-0000-000084000000}"/>
    <cellStyle name="_방동_03구조~1_Book2_1.역T형옹벽(변경)" xfId="134" xr:uid="{00000000-0005-0000-0000-000085000000}"/>
    <cellStyle name="_방동_03구조~1_Book2_1공구수량" xfId="135" xr:uid="{00000000-0005-0000-0000-000086000000}"/>
    <cellStyle name="_방동_03구조~1_Book2_1공구수량_1.역T형옹벽(변경)" xfId="136" xr:uid="{00000000-0005-0000-0000-000087000000}"/>
    <cellStyle name="_방동_03구조~1_Book2_1공구수량_2.역T형옹벽(변경)" xfId="137" xr:uid="{00000000-0005-0000-0000-000088000000}"/>
    <cellStyle name="_방동_03구조~1_Book2_2.역T형옹벽(변경)" xfId="138" xr:uid="{00000000-0005-0000-0000-000089000000}"/>
    <cellStyle name="_방동_03구조~1_Book2_깨기수량" xfId="139" xr:uid="{00000000-0005-0000-0000-00008A000000}"/>
    <cellStyle name="_방동_03구조~1_Book2_깨기수량_1.역T형옹벽(변경)" xfId="140" xr:uid="{00000000-0005-0000-0000-00008B000000}"/>
    <cellStyle name="_방동_03구조~1_Book2_깨기수량_2.역T형옹벽(변경)" xfId="141" xr:uid="{00000000-0005-0000-0000-00008C000000}"/>
    <cellStyle name="_방동_03구조~1_Book2_집계표" xfId="142" xr:uid="{00000000-0005-0000-0000-00008D000000}"/>
    <cellStyle name="_방동_03구조~1_Book2_집계표_1.역T형옹벽(변경)" xfId="143" xr:uid="{00000000-0005-0000-0000-00008E000000}"/>
    <cellStyle name="_방동_03구조~1_Book2_집계표_1공구수량" xfId="144" xr:uid="{00000000-0005-0000-0000-00008F000000}"/>
    <cellStyle name="_방동_03구조~1_Book2_집계표_1공구수량_1.역T형옹벽(변경)" xfId="145" xr:uid="{00000000-0005-0000-0000-000090000000}"/>
    <cellStyle name="_방동_03구조~1_Book2_집계표_1공구수량_2.역T형옹벽(변경)" xfId="146" xr:uid="{00000000-0005-0000-0000-000091000000}"/>
    <cellStyle name="_방동_03구조~1_Book2_집계표_2.역T형옹벽(변경)" xfId="147" xr:uid="{00000000-0005-0000-0000-000092000000}"/>
    <cellStyle name="_방동_03구조~1_Book2_집계표_깨기수량" xfId="148" xr:uid="{00000000-0005-0000-0000-000093000000}"/>
    <cellStyle name="_방동_03구조~1_Book2_집계표_깨기수량_1.역T형옹벽(변경)" xfId="149" xr:uid="{00000000-0005-0000-0000-000094000000}"/>
    <cellStyle name="_방동_03구조~1_Book2_집계표_깨기수량_2.역T형옹벽(변경)" xfId="150" xr:uid="{00000000-0005-0000-0000-000095000000}"/>
    <cellStyle name="_방동_03구조~1_Book2_집계표_호안공" xfId="151" xr:uid="{00000000-0005-0000-0000-000096000000}"/>
    <cellStyle name="_방동_03구조~1_Book2_집계표_호안공_1.역T형옹벽(변경)" xfId="152" xr:uid="{00000000-0005-0000-0000-000097000000}"/>
    <cellStyle name="_방동_03구조~1_Book2_집계표_호안공_2.역T형옹벽(변경)" xfId="153" xr:uid="{00000000-0005-0000-0000-000098000000}"/>
    <cellStyle name="_방동_03구조~1_Book2_호안공" xfId="154" xr:uid="{00000000-0005-0000-0000-000099000000}"/>
    <cellStyle name="_방동_03구조~1_Book2_호안공_1.역T형옹벽(변경)" xfId="155" xr:uid="{00000000-0005-0000-0000-00009A000000}"/>
    <cellStyle name="_방동_03구조~1_Book2_호안공_2.역T형옹벽(변경)" xfId="156" xr:uid="{00000000-0005-0000-0000-00009B000000}"/>
    <cellStyle name="_방동_03구조~1_갈전리2공구수량" xfId="157" xr:uid="{00000000-0005-0000-0000-00009C000000}"/>
    <cellStyle name="_방동_03구조~1_갈전리2공구수량_1.역T형옹벽(변경)" xfId="158" xr:uid="{00000000-0005-0000-0000-00009D000000}"/>
    <cellStyle name="_방동_03구조~1_갈전리2공구수량_1공구수량" xfId="159" xr:uid="{00000000-0005-0000-0000-00009E000000}"/>
    <cellStyle name="_방동_03구조~1_갈전리2공구수량_1공구수량_1.역T형옹벽(변경)" xfId="160" xr:uid="{00000000-0005-0000-0000-00009F000000}"/>
    <cellStyle name="_방동_03구조~1_갈전리2공구수량_1공구수량_2.역T형옹벽(변경)" xfId="161" xr:uid="{00000000-0005-0000-0000-0000A0000000}"/>
    <cellStyle name="_방동_03구조~1_갈전리2공구수량_2.역T형옹벽(변경)" xfId="162" xr:uid="{00000000-0005-0000-0000-0000A1000000}"/>
    <cellStyle name="_방동_03구조~1_갈전리2공구수량_깨기수량" xfId="163" xr:uid="{00000000-0005-0000-0000-0000A2000000}"/>
    <cellStyle name="_방동_03구조~1_갈전리2공구수량_깨기수량_1.역T형옹벽(변경)" xfId="164" xr:uid="{00000000-0005-0000-0000-0000A3000000}"/>
    <cellStyle name="_방동_03구조~1_갈전리2공구수량_깨기수량_2.역T형옹벽(변경)" xfId="165" xr:uid="{00000000-0005-0000-0000-0000A4000000}"/>
    <cellStyle name="_방동_03구조~1_갈전리2공구수량_호안공" xfId="166" xr:uid="{00000000-0005-0000-0000-0000A5000000}"/>
    <cellStyle name="_방동_03구조~1_갈전리2공구수량_호안공_1.역T형옹벽(변경)" xfId="167" xr:uid="{00000000-0005-0000-0000-0000A6000000}"/>
    <cellStyle name="_방동_03구조~1_갈전리2공구수량_호안공_2.역T형옹벽(변경)" xfId="168" xr:uid="{00000000-0005-0000-0000-0000A7000000}"/>
    <cellStyle name="_방동_03구조~1_깨기" xfId="169" xr:uid="{00000000-0005-0000-0000-0000A8000000}"/>
    <cellStyle name="_방동_03구조~1_깨기_1.역T형옹벽(변경)" xfId="170" xr:uid="{00000000-0005-0000-0000-0000A9000000}"/>
    <cellStyle name="_방동_03구조~1_깨기_1공구수량" xfId="171" xr:uid="{00000000-0005-0000-0000-0000AA000000}"/>
    <cellStyle name="_방동_03구조~1_깨기_1공구수량_1.역T형옹벽(변경)" xfId="172" xr:uid="{00000000-0005-0000-0000-0000AB000000}"/>
    <cellStyle name="_방동_03구조~1_깨기_1공구수량_2.역T형옹벽(변경)" xfId="173" xr:uid="{00000000-0005-0000-0000-0000AC000000}"/>
    <cellStyle name="_방동_03구조~1_깨기_2.역T형옹벽(변경)" xfId="174" xr:uid="{00000000-0005-0000-0000-0000AD000000}"/>
    <cellStyle name="_방동_03구조~1_깨기_깨기수량" xfId="175" xr:uid="{00000000-0005-0000-0000-0000AE000000}"/>
    <cellStyle name="_방동_03구조~1_깨기_깨기수량_1.역T형옹벽(변경)" xfId="176" xr:uid="{00000000-0005-0000-0000-0000AF000000}"/>
    <cellStyle name="_방동_03구조~1_깨기_깨기수량_2.역T형옹벽(변경)" xfId="177" xr:uid="{00000000-0005-0000-0000-0000B0000000}"/>
    <cellStyle name="_방동_03구조~1_깨기_호안공" xfId="178" xr:uid="{00000000-0005-0000-0000-0000B1000000}"/>
    <cellStyle name="_방동_03구조~1_깨기_호안공_1.역T형옹벽(변경)" xfId="179" xr:uid="{00000000-0005-0000-0000-0000B2000000}"/>
    <cellStyle name="_방동_03구조~1_깨기_호안공_2.역T형옹벽(변경)" xfId="180" xr:uid="{00000000-0005-0000-0000-0000B3000000}"/>
    <cellStyle name="_방동_03구조~1_깨기수량" xfId="181" xr:uid="{00000000-0005-0000-0000-0000B4000000}"/>
    <cellStyle name="_방동_03구조~1_깨기수량_1.역T형옹벽(변경)" xfId="182" xr:uid="{00000000-0005-0000-0000-0000B5000000}"/>
    <cellStyle name="_방동_03구조~1_깨기수량_2.역T형옹벽(변경)" xfId="183" xr:uid="{00000000-0005-0000-0000-0000B6000000}"/>
    <cellStyle name="_방동_03구조~1_수량" xfId="184" xr:uid="{00000000-0005-0000-0000-0000B7000000}"/>
    <cellStyle name="_방동_03구조~1_수량(말미골천)" xfId="185" xr:uid="{00000000-0005-0000-0000-0000B8000000}"/>
    <cellStyle name="_방동_03구조~1_수량(말미골천)_1.역T형옹벽(변경)" xfId="186" xr:uid="{00000000-0005-0000-0000-0000B9000000}"/>
    <cellStyle name="_방동_03구조~1_수량(말미골천)_1공구수량" xfId="187" xr:uid="{00000000-0005-0000-0000-0000BA000000}"/>
    <cellStyle name="_방동_03구조~1_수량(말미골천)_1공구수량_1.역T형옹벽(변경)" xfId="188" xr:uid="{00000000-0005-0000-0000-0000BB000000}"/>
    <cellStyle name="_방동_03구조~1_수량(말미골천)_1공구수량_2.역T형옹벽(변경)" xfId="189" xr:uid="{00000000-0005-0000-0000-0000BC000000}"/>
    <cellStyle name="_방동_03구조~1_수량(말미골천)_2.역T형옹벽(변경)" xfId="190" xr:uid="{00000000-0005-0000-0000-0000BD000000}"/>
    <cellStyle name="_방동_03구조~1_수량(말미골천)_깨기수량" xfId="191" xr:uid="{00000000-0005-0000-0000-0000BE000000}"/>
    <cellStyle name="_방동_03구조~1_수량(말미골천)_깨기수량_1.역T형옹벽(변경)" xfId="192" xr:uid="{00000000-0005-0000-0000-0000BF000000}"/>
    <cellStyle name="_방동_03구조~1_수량(말미골천)_깨기수량_2.역T형옹벽(변경)" xfId="193" xr:uid="{00000000-0005-0000-0000-0000C0000000}"/>
    <cellStyle name="_방동_03구조~1_수량(말미골천)_호안공" xfId="194" xr:uid="{00000000-0005-0000-0000-0000C1000000}"/>
    <cellStyle name="_방동_03구조~1_수량(말미골천)_호안공_1.역T형옹벽(변경)" xfId="195" xr:uid="{00000000-0005-0000-0000-0000C2000000}"/>
    <cellStyle name="_방동_03구조~1_수량(말미골천)_호안공_2.역T형옹벽(변경)" xfId="196" xr:uid="{00000000-0005-0000-0000-0000C3000000}"/>
    <cellStyle name="_방동_03구조~1_수량_1.역T형옹벽(변경)" xfId="197" xr:uid="{00000000-0005-0000-0000-0000C4000000}"/>
    <cellStyle name="_방동_03구조~1_수량_1공구수량" xfId="198" xr:uid="{00000000-0005-0000-0000-0000C5000000}"/>
    <cellStyle name="_방동_03구조~1_수량_1공구수량_1.역T형옹벽(변경)" xfId="199" xr:uid="{00000000-0005-0000-0000-0000C6000000}"/>
    <cellStyle name="_방동_03구조~1_수량_1공구수량_2.역T형옹벽(변경)" xfId="200" xr:uid="{00000000-0005-0000-0000-0000C7000000}"/>
    <cellStyle name="_방동_03구조~1_수량_2.역T형옹벽(변경)" xfId="201" xr:uid="{00000000-0005-0000-0000-0000C8000000}"/>
    <cellStyle name="_방동_03구조~1_수량_깨기수량" xfId="202" xr:uid="{00000000-0005-0000-0000-0000C9000000}"/>
    <cellStyle name="_방동_03구조~1_수량_깨기수량_1.역T형옹벽(변경)" xfId="203" xr:uid="{00000000-0005-0000-0000-0000CA000000}"/>
    <cellStyle name="_방동_03구조~1_수량_깨기수량_2.역T형옹벽(변경)" xfId="204" xr:uid="{00000000-0005-0000-0000-0000CB000000}"/>
    <cellStyle name="_방동_03구조~1_수량_호안공" xfId="205" xr:uid="{00000000-0005-0000-0000-0000CC000000}"/>
    <cellStyle name="_방동_03구조~1_수량_호안공_1.역T형옹벽(변경)" xfId="206" xr:uid="{00000000-0005-0000-0000-0000CD000000}"/>
    <cellStyle name="_방동_03구조~1_수량_호안공_2.역T형옹벽(변경)" xfId="207" xr:uid="{00000000-0005-0000-0000-0000CE000000}"/>
    <cellStyle name="_방동_03구조~1_수량산출서" xfId="208" xr:uid="{00000000-0005-0000-0000-0000CF000000}"/>
    <cellStyle name="_방동_03구조~1_수량산출서_1.역T형옹벽(변경)" xfId="209" xr:uid="{00000000-0005-0000-0000-0000D0000000}"/>
    <cellStyle name="_방동_03구조~1_수량산출서_1공구수량" xfId="210" xr:uid="{00000000-0005-0000-0000-0000D1000000}"/>
    <cellStyle name="_방동_03구조~1_수량산출서_1공구수량_1.역T형옹벽(변경)" xfId="211" xr:uid="{00000000-0005-0000-0000-0000D2000000}"/>
    <cellStyle name="_방동_03구조~1_수량산출서_1공구수량_2.역T형옹벽(변경)" xfId="212" xr:uid="{00000000-0005-0000-0000-0000D3000000}"/>
    <cellStyle name="_방동_03구조~1_수량산출서_2.역T형옹벽(변경)" xfId="213" xr:uid="{00000000-0005-0000-0000-0000D4000000}"/>
    <cellStyle name="_방동_03구조~1_수량산출서_깨기수량" xfId="214" xr:uid="{00000000-0005-0000-0000-0000D5000000}"/>
    <cellStyle name="_방동_03구조~1_수량산출서_깨기수량_1.역T형옹벽(변경)" xfId="215" xr:uid="{00000000-0005-0000-0000-0000D6000000}"/>
    <cellStyle name="_방동_03구조~1_수량산출서_깨기수량_2.역T형옹벽(변경)" xfId="216" xr:uid="{00000000-0005-0000-0000-0000D7000000}"/>
    <cellStyle name="_방동_03구조~1_수량산출서_호안공" xfId="217" xr:uid="{00000000-0005-0000-0000-0000D8000000}"/>
    <cellStyle name="_방동_03구조~1_수량산출서_호안공_1.역T형옹벽(변경)" xfId="218" xr:uid="{00000000-0005-0000-0000-0000D9000000}"/>
    <cellStyle name="_방동_03구조~1_수량산출서_호안공_2.역T형옹벽(변경)" xfId="219" xr:uid="{00000000-0005-0000-0000-0000DA000000}"/>
    <cellStyle name="_방동_03구조~1_집계표" xfId="220" xr:uid="{00000000-0005-0000-0000-0000DB000000}"/>
    <cellStyle name="_방동_03구조~1_집계표_1.역T형옹벽(변경)" xfId="221" xr:uid="{00000000-0005-0000-0000-0000DC000000}"/>
    <cellStyle name="_방동_03구조~1_집계표_1공구수량" xfId="222" xr:uid="{00000000-0005-0000-0000-0000DD000000}"/>
    <cellStyle name="_방동_03구조~1_집계표_1공구수량_1.역T형옹벽(변경)" xfId="223" xr:uid="{00000000-0005-0000-0000-0000DE000000}"/>
    <cellStyle name="_방동_03구조~1_집계표_1공구수량_2.역T형옹벽(변경)" xfId="224" xr:uid="{00000000-0005-0000-0000-0000DF000000}"/>
    <cellStyle name="_방동_03구조~1_집계표_2.역T형옹벽(변경)" xfId="225" xr:uid="{00000000-0005-0000-0000-0000E0000000}"/>
    <cellStyle name="_방동_03구조~1_집계표_깨기수량" xfId="226" xr:uid="{00000000-0005-0000-0000-0000E1000000}"/>
    <cellStyle name="_방동_03구조~1_집계표_깨기수량_1.역T형옹벽(변경)" xfId="227" xr:uid="{00000000-0005-0000-0000-0000E2000000}"/>
    <cellStyle name="_방동_03구조~1_집계표_깨기수량_2.역T형옹벽(변경)" xfId="228" xr:uid="{00000000-0005-0000-0000-0000E3000000}"/>
    <cellStyle name="_방동_03구조~1_집계표_집계표" xfId="229" xr:uid="{00000000-0005-0000-0000-0000E4000000}"/>
    <cellStyle name="_방동_03구조~1_집계표_집계표_1.역T형옹벽(변경)" xfId="230" xr:uid="{00000000-0005-0000-0000-0000E5000000}"/>
    <cellStyle name="_방동_03구조~1_집계표_집계표_1공구수량" xfId="231" xr:uid="{00000000-0005-0000-0000-0000E6000000}"/>
    <cellStyle name="_방동_03구조~1_집계표_집계표_1공구수량_1.역T형옹벽(변경)" xfId="232" xr:uid="{00000000-0005-0000-0000-0000E7000000}"/>
    <cellStyle name="_방동_03구조~1_집계표_집계표_1공구수량_2.역T형옹벽(변경)" xfId="233" xr:uid="{00000000-0005-0000-0000-0000E8000000}"/>
    <cellStyle name="_방동_03구조~1_집계표_집계표_2.역T형옹벽(변경)" xfId="234" xr:uid="{00000000-0005-0000-0000-0000E9000000}"/>
    <cellStyle name="_방동_03구조~1_집계표_집계표_깨기수량" xfId="235" xr:uid="{00000000-0005-0000-0000-0000EA000000}"/>
    <cellStyle name="_방동_03구조~1_집계표_집계표_깨기수량_1.역T형옹벽(변경)" xfId="236" xr:uid="{00000000-0005-0000-0000-0000EB000000}"/>
    <cellStyle name="_방동_03구조~1_집계표_집계표_깨기수량_2.역T형옹벽(변경)" xfId="237" xr:uid="{00000000-0005-0000-0000-0000EC000000}"/>
    <cellStyle name="_방동_03구조~1_집계표_집계표_호안공" xfId="238" xr:uid="{00000000-0005-0000-0000-0000ED000000}"/>
    <cellStyle name="_방동_03구조~1_집계표_집계표_호안공_1.역T형옹벽(변경)" xfId="239" xr:uid="{00000000-0005-0000-0000-0000EE000000}"/>
    <cellStyle name="_방동_03구조~1_집계표_집계표_호안공_2.역T형옹벽(변경)" xfId="240" xr:uid="{00000000-0005-0000-0000-0000EF000000}"/>
    <cellStyle name="_방동_03구조~1_집계표_호안공" xfId="241" xr:uid="{00000000-0005-0000-0000-0000F0000000}"/>
    <cellStyle name="_방동_03구조~1_집계표_호안공_1.역T형옹벽(변경)" xfId="242" xr:uid="{00000000-0005-0000-0000-0000F1000000}"/>
    <cellStyle name="_방동_03구조~1_집계표_호안공_2.역T형옹벽(변경)" xfId="243" xr:uid="{00000000-0005-0000-0000-0000F2000000}"/>
    <cellStyle name="_방동_03구조~1_호안공" xfId="244" xr:uid="{00000000-0005-0000-0000-0000F3000000}"/>
    <cellStyle name="_방동_03구조~1_호안공_1.역T형옹벽(변경)" xfId="245" xr:uid="{00000000-0005-0000-0000-0000F4000000}"/>
    <cellStyle name="_방동_03구조~1_호안공_2.역T형옹벽(변경)" xfId="246" xr:uid="{00000000-0005-0000-0000-0000F5000000}"/>
    <cellStyle name="_방동_03구조~1_호안공_호안공" xfId="247" xr:uid="{00000000-0005-0000-0000-0000F6000000}"/>
    <cellStyle name="_방동_03구조~1_호안공_호안공_1.역T형옹벽(변경)" xfId="248" xr:uid="{00000000-0005-0000-0000-0000F7000000}"/>
    <cellStyle name="_방동_03구조~1_호안공_호안공_2.역T형옹벽(변경)" xfId="249" xr:uid="{00000000-0005-0000-0000-0000F8000000}"/>
    <cellStyle name="_방동_03구조물공" xfId="250" xr:uid="{00000000-0005-0000-0000-0000F9000000}"/>
    <cellStyle name="_방동_03구조물공_1.역T형옹벽(변경)" xfId="251" xr:uid="{00000000-0005-0000-0000-0000FA000000}"/>
    <cellStyle name="_방동_03구조물공_1공구수량" xfId="252" xr:uid="{00000000-0005-0000-0000-0000FB000000}"/>
    <cellStyle name="_방동_03구조물공_1공구수량_1.역T형옹벽(변경)" xfId="253" xr:uid="{00000000-0005-0000-0000-0000FC000000}"/>
    <cellStyle name="_방동_03구조물공_1공구수량_2.역T형옹벽(변경)" xfId="254" xr:uid="{00000000-0005-0000-0000-0000FD000000}"/>
    <cellStyle name="_방동_03구조물공_2.역T형옹벽(변경)" xfId="255" xr:uid="{00000000-0005-0000-0000-0000FE000000}"/>
    <cellStyle name="_방동_03구조물공_Book1" xfId="256" xr:uid="{00000000-0005-0000-0000-0000FF000000}"/>
    <cellStyle name="_방동_03구조물공_Book1_1.역T형옹벽(변경)" xfId="257" xr:uid="{00000000-0005-0000-0000-000000010000}"/>
    <cellStyle name="_방동_03구조물공_Book1_2.역T형옹벽(변경)" xfId="258" xr:uid="{00000000-0005-0000-0000-000001010000}"/>
    <cellStyle name="_방동_03구조물공_Book1_호안공" xfId="259" xr:uid="{00000000-0005-0000-0000-000002010000}"/>
    <cellStyle name="_방동_03구조물공_Book1_호안공_1.역T형옹벽(변경)" xfId="260" xr:uid="{00000000-0005-0000-0000-000003010000}"/>
    <cellStyle name="_방동_03구조물공_Book1_호안공_2.역T형옹벽(변경)" xfId="261" xr:uid="{00000000-0005-0000-0000-000004010000}"/>
    <cellStyle name="_방동_03구조물공_Book2" xfId="262" xr:uid="{00000000-0005-0000-0000-000005010000}"/>
    <cellStyle name="_방동_03구조물공_Book2_1.역T형옹벽(변경)" xfId="263" xr:uid="{00000000-0005-0000-0000-000006010000}"/>
    <cellStyle name="_방동_03구조물공_Book2_1공구수량" xfId="264" xr:uid="{00000000-0005-0000-0000-000007010000}"/>
    <cellStyle name="_방동_03구조물공_Book2_1공구수량_1.역T형옹벽(변경)" xfId="265" xr:uid="{00000000-0005-0000-0000-000008010000}"/>
    <cellStyle name="_방동_03구조물공_Book2_1공구수량_2.역T형옹벽(변경)" xfId="266" xr:uid="{00000000-0005-0000-0000-000009010000}"/>
    <cellStyle name="_방동_03구조물공_Book2_2.역T형옹벽(변경)" xfId="267" xr:uid="{00000000-0005-0000-0000-00000A010000}"/>
    <cellStyle name="_방동_03구조물공_Book2_깨기수량" xfId="268" xr:uid="{00000000-0005-0000-0000-00000B010000}"/>
    <cellStyle name="_방동_03구조물공_Book2_깨기수량_1.역T형옹벽(변경)" xfId="269" xr:uid="{00000000-0005-0000-0000-00000C010000}"/>
    <cellStyle name="_방동_03구조물공_Book2_깨기수량_2.역T형옹벽(변경)" xfId="270" xr:uid="{00000000-0005-0000-0000-00000D010000}"/>
    <cellStyle name="_방동_03구조물공_Book2_집계표" xfId="271" xr:uid="{00000000-0005-0000-0000-00000E010000}"/>
    <cellStyle name="_방동_03구조물공_Book2_집계표_1.역T형옹벽(변경)" xfId="272" xr:uid="{00000000-0005-0000-0000-00000F010000}"/>
    <cellStyle name="_방동_03구조물공_Book2_집계표_1공구수량" xfId="273" xr:uid="{00000000-0005-0000-0000-000010010000}"/>
    <cellStyle name="_방동_03구조물공_Book2_집계표_1공구수량_1.역T형옹벽(변경)" xfId="274" xr:uid="{00000000-0005-0000-0000-000011010000}"/>
    <cellStyle name="_방동_03구조물공_Book2_집계표_1공구수량_2.역T형옹벽(변경)" xfId="275" xr:uid="{00000000-0005-0000-0000-000012010000}"/>
    <cellStyle name="_방동_03구조물공_Book2_집계표_2.역T형옹벽(변경)" xfId="276" xr:uid="{00000000-0005-0000-0000-000013010000}"/>
    <cellStyle name="_방동_03구조물공_Book2_집계표_깨기수량" xfId="277" xr:uid="{00000000-0005-0000-0000-000014010000}"/>
    <cellStyle name="_방동_03구조물공_Book2_집계표_깨기수량_1.역T형옹벽(변경)" xfId="278" xr:uid="{00000000-0005-0000-0000-000015010000}"/>
    <cellStyle name="_방동_03구조물공_Book2_집계표_깨기수량_2.역T형옹벽(변경)" xfId="279" xr:uid="{00000000-0005-0000-0000-000016010000}"/>
    <cellStyle name="_방동_03구조물공_Book2_집계표_호안공" xfId="280" xr:uid="{00000000-0005-0000-0000-000017010000}"/>
    <cellStyle name="_방동_03구조물공_Book2_집계표_호안공_1.역T형옹벽(변경)" xfId="281" xr:uid="{00000000-0005-0000-0000-000018010000}"/>
    <cellStyle name="_방동_03구조물공_Book2_집계표_호안공_2.역T형옹벽(변경)" xfId="282" xr:uid="{00000000-0005-0000-0000-000019010000}"/>
    <cellStyle name="_방동_03구조물공_Book2_호안공" xfId="283" xr:uid="{00000000-0005-0000-0000-00001A010000}"/>
    <cellStyle name="_방동_03구조물공_Book2_호안공_1.역T형옹벽(변경)" xfId="284" xr:uid="{00000000-0005-0000-0000-00001B010000}"/>
    <cellStyle name="_방동_03구조물공_Book2_호안공_2.역T형옹벽(변경)" xfId="285" xr:uid="{00000000-0005-0000-0000-00001C010000}"/>
    <cellStyle name="_방동_03구조물공_갈전리2공구수량" xfId="286" xr:uid="{00000000-0005-0000-0000-00001D010000}"/>
    <cellStyle name="_방동_03구조물공_갈전리2공구수량_1.역T형옹벽(변경)" xfId="287" xr:uid="{00000000-0005-0000-0000-00001E010000}"/>
    <cellStyle name="_방동_03구조물공_갈전리2공구수량_1공구수량" xfId="288" xr:uid="{00000000-0005-0000-0000-00001F010000}"/>
    <cellStyle name="_방동_03구조물공_갈전리2공구수량_1공구수량_1.역T형옹벽(변경)" xfId="289" xr:uid="{00000000-0005-0000-0000-000020010000}"/>
    <cellStyle name="_방동_03구조물공_갈전리2공구수량_1공구수량_2.역T형옹벽(변경)" xfId="290" xr:uid="{00000000-0005-0000-0000-000021010000}"/>
    <cellStyle name="_방동_03구조물공_갈전리2공구수량_2.역T형옹벽(변경)" xfId="291" xr:uid="{00000000-0005-0000-0000-000022010000}"/>
    <cellStyle name="_방동_03구조물공_갈전리2공구수량_깨기수량" xfId="292" xr:uid="{00000000-0005-0000-0000-000023010000}"/>
    <cellStyle name="_방동_03구조물공_갈전리2공구수량_깨기수량_1.역T형옹벽(변경)" xfId="293" xr:uid="{00000000-0005-0000-0000-000024010000}"/>
    <cellStyle name="_방동_03구조물공_갈전리2공구수량_깨기수량_2.역T형옹벽(변경)" xfId="294" xr:uid="{00000000-0005-0000-0000-000025010000}"/>
    <cellStyle name="_방동_03구조물공_갈전리2공구수량_호안공" xfId="295" xr:uid="{00000000-0005-0000-0000-000026010000}"/>
    <cellStyle name="_방동_03구조물공_갈전리2공구수량_호안공_1.역T형옹벽(변경)" xfId="296" xr:uid="{00000000-0005-0000-0000-000027010000}"/>
    <cellStyle name="_방동_03구조물공_갈전리2공구수량_호안공_2.역T형옹벽(변경)" xfId="297" xr:uid="{00000000-0005-0000-0000-000028010000}"/>
    <cellStyle name="_방동_03구조물공_깨기" xfId="298" xr:uid="{00000000-0005-0000-0000-000029010000}"/>
    <cellStyle name="_방동_03구조물공_깨기_1.역T형옹벽(변경)" xfId="299" xr:uid="{00000000-0005-0000-0000-00002A010000}"/>
    <cellStyle name="_방동_03구조물공_깨기_1공구수량" xfId="300" xr:uid="{00000000-0005-0000-0000-00002B010000}"/>
    <cellStyle name="_방동_03구조물공_깨기_1공구수량_1.역T형옹벽(변경)" xfId="301" xr:uid="{00000000-0005-0000-0000-00002C010000}"/>
    <cellStyle name="_방동_03구조물공_깨기_1공구수량_2.역T형옹벽(변경)" xfId="302" xr:uid="{00000000-0005-0000-0000-00002D010000}"/>
    <cellStyle name="_방동_03구조물공_깨기_2.역T형옹벽(변경)" xfId="303" xr:uid="{00000000-0005-0000-0000-00002E010000}"/>
    <cellStyle name="_방동_03구조물공_깨기_깨기수량" xfId="304" xr:uid="{00000000-0005-0000-0000-00002F010000}"/>
    <cellStyle name="_방동_03구조물공_깨기_깨기수량_1.역T형옹벽(변경)" xfId="305" xr:uid="{00000000-0005-0000-0000-000030010000}"/>
    <cellStyle name="_방동_03구조물공_깨기_깨기수량_2.역T형옹벽(변경)" xfId="306" xr:uid="{00000000-0005-0000-0000-000031010000}"/>
    <cellStyle name="_방동_03구조물공_깨기_호안공" xfId="307" xr:uid="{00000000-0005-0000-0000-000032010000}"/>
    <cellStyle name="_방동_03구조물공_깨기_호안공_1.역T형옹벽(변경)" xfId="308" xr:uid="{00000000-0005-0000-0000-000033010000}"/>
    <cellStyle name="_방동_03구조물공_깨기_호안공_2.역T형옹벽(변경)" xfId="309" xr:uid="{00000000-0005-0000-0000-000034010000}"/>
    <cellStyle name="_방동_03구조물공_깨기수량" xfId="310" xr:uid="{00000000-0005-0000-0000-000035010000}"/>
    <cellStyle name="_방동_03구조물공_깨기수량_1.역T형옹벽(변경)" xfId="311" xr:uid="{00000000-0005-0000-0000-000036010000}"/>
    <cellStyle name="_방동_03구조물공_깨기수량_2.역T형옹벽(변경)" xfId="312" xr:uid="{00000000-0005-0000-0000-000037010000}"/>
    <cellStyle name="_방동_03구조물공_수량" xfId="313" xr:uid="{00000000-0005-0000-0000-000038010000}"/>
    <cellStyle name="_방동_03구조물공_수량(말미골천)" xfId="314" xr:uid="{00000000-0005-0000-0000-000039010000}"/>
    <cellStyle name="_방동_03구조물공_수량(말미골천)_1.역T형옹벽(변경)" xfId="315" xr:uid="{00000000-0005-0000-0000-00003A010000}"/>
    <cellStyle name="_방동_03구조물공_수량(말미골천)_1공구수량" xfId="316" xr:uid="{00000000-0005-0000-0000-00003B010000}"/>
    <cellStyle name="_방동_03구조물공_수량(말미골천)_1공구수량_1.역T형옹벽(변경)" xfId="317" xr:uid="{00000000-0005-0000-0000-00003C010000}"/>
    <cellStyle name="_방동_03구조물공_수량(말미골천)_1공구수량_2.역T형옹벽(변경)" xfId="318" xr:uid="{00000000-0005-0000-0000-00003D010000}"/>
    <cellStyle name="_방동_03구조물공_수량(말미골천)_2.역T형옹벽(변경)" xfId="319" xr:uid="{00000000-0005-0000-0000-00003E010000}"/>
    <cellStyle name="_방동_03구조물공_수량(말미골천)_깨기수량" xfId="320" xr:uid="{00000000-0005-0000-0000-00003F010000}"/>
    <cellStyle name="_방동_03구조물공_수량(말미골천)_깨기수량_1.역T형옹벽(변경)" xfId="321" xr:uid="{00000000-0005-0000-0000-000040010000}"/>
    <cellStyle name="_방동_03구조물공_수량(말미골천)_깨기수량_2.역T형옹벽(변경)" xfId="322" xr:uid="{00000000-0005-0000-0000-000041010000}"/>
    <cellStyle name="_방동_03구조물공_수량(말미골천)_호안공" xfId="323" xr:uid="{00000000-0005-0000-0000-000042010000}"/>
    <cellStyle name="_방동_03구조물공_수량(말미골천)_호안공_1.역T형옹벽(변경)" xfId="324" xr:uid="{00000000-0005-0000-0000-000043010000}"/>
    <cellStyle name="_방동_03구조물공_수량(말미골천)_호안공_2.역T형옹벽(변경)" xfId="325" xr:uid="{00000000-0005-0000-0000-000044010000}"/>
    <cellStyle name="_방동_03구조물공_수량_1.역T형옹벽(변경)" xfId="326" xr:uid="{00000000-0005-0000-0000-000045010000}"/>
    <cellStyle name="_방동_03구조물공_수량_1공구수량" xfId="327" xr:uid="{00000000-0005-0000-0000-000046010000}"/>
    <cellStyle name="_방동_03구조물공_수량_1공구수량_1.역T형옹벽(변경)" xfId="328" xr:uid="{00000000-0005-0000-0000-000047010000}"/>
    <cellStyle name="_방동_03구조물공_수량_1공구수량_2.역T형옹벽(변경)" xfId="329" xr:uid="{00000000-0005-0000-0000-000048010000}"/>
    <cellStyle name="_방동_03구조물공_수량_2.역T형옹벽(변경)" xfId="330" xr:uid="{00000000-0005-0000-0000-000049010000}"/>
    <cellStyle name="_방동_03구조물공_수량_깨기수량" xfId="331" xr:uid="{00000000-0005-0000-0000-00004A010000}"/>
    <cellStyle name="_방동_03구조물공_수량_깨기수량_1.역T형옹벽(변경)" xfId="332" xr:uid="{00000000-0005-0000-0000-00004B010000}"/>
    <cellStyle name="_방동_03구조물공_수량_깨기수량_2.역T형옹벽(변경)" xfId="333" xr:uid="{00000000-0005-0000-0000-00004C010000}"/>
    <cellStyle name="_방동_03구조물공_수량_호안공" xfId="334" xr:uid="{00000000-0005-0000-0000-00004D010000}"/>
    <cellStyle name="_방동_03구조물공_수량_호안공_1.역T형옹벽(변경)" xfId="335" xr:uid="{00000000-0005-0000-0000-00004E010000}"/>
    <cellStyle name="_방동_03구조물공_수량_호안공_2.역T형옹벽(변경)" xfId="336" xr:uid="{00000000-0005-0000-0000-00004F010000}"/>
    <cellStyle name="_방동_03구조물공_수량산출서" xfId="337" xr:uid="{00000000-0005-0000-0000-000050010000}"/>
    <cellStyle name="_방동_03구조물공_수량산출서_1.역T형옹벽(변경)" xfId="338" xr:uid="{00000000-0005-0000-0000-000051010000}"/>
    <cellStyle name="_방동_03구조물공_수량산출서_1공구수량" xfId="339" xr:uid="{00000000-0005-0000-0000-000052010000}"/>
    <cellStyle name="_방동_03구조물공_수량산출서_1공구수량_1.역T형옹벽(변경)" xfId="340" xr:uid="{00000000-0005-0000-0000-000053010000}"/>
    <cellStyle name="_방동_03구조물공_수량산출서_1공구수량_2.역T형옹벽(변경)" xfId="341" xr:uid="{00000000-0005-0000-0000-000054010000}"/>
    <cellStyle name="_방동_03구조물공_수량산출서_2.역T형옹벽(변경)" xfId="342" xr:uid="{00000000-0005-0000-0000-000055010000}"/>
    <cellStyle name="_방동_03구조물공_수량산출서_깨기수량" xfId="343" xr:uid="{00000000-0005-0000-0000-000056010000}"/>
    <cellStyle name="_방동_03구조물공_수량산출서_깨기수량_1.역T형옹벽(변경)" xfId="344" xr:uid="{00000000-0005-0000-0000-000057010000}"/>
    <cellStyle name="_방동_03구조물공_수량산출서_깨기수량_2.역T형옹벽(변경)" xfId="345" xr:uid="{00000000-0005-0000-0000-000058010000}"/>
    <cellStyle name="_방동_03구조물공_수량산출서_호안공" xfId="346" xr:uid="{00000000-0005-0000-0000-000059010000}"/>
    <cellStyle name="_방동_03구조물공_수량산출서_호안공_1.역T형옹벽(변경)" xfId="347" xr:uid="{00000000-0005-0000-0000-00005A010000}"/>
    <cellStyle name="_방동_03구조물공_수량산출서_호안공_2.역T형옹벽(변경)" xfId="348" xr:uid="{00000000-0005-0000-0000-00005B010000}"/>
    <cellStyle name="_방동_03구조물공_집계표" xfId="349" xr:uid="{00000000-0005-0000-0000-00005C010000}"/>
    <cellStyle name="_방동_03구조물공_집계표_1.역T형옹벽(변경)" xfId="350" xr:uid="{00000000-0005-0000-0000-00005D010000}"/>
    <cellStyle name="_방동_03구조물공_집계표_1공구수량" xfId="351" xr:uid="{00000000-0005-0000-0000-00005E010000}"/>
    <cellStyle name="_방동_03구조물공_집계표_1공구수량_1.역T형옹벽(변경)" xfId="352" xr:uid="{00000000-0005-0000-0000-00005F010000}"/>
    <cellStyle name="_방동_03구조물공_집계표_1공구수량_2.역T형옹벽(변경)" xfId="353" xr:uid="{00000000-0005-0000-0000-000060010000}"/>
    <cellStyle name="_방동_03구조물공_집계표_2.역T형옹벽(변경)" xfId="354" xr:uid="{00000000-0005-0000-0000-000061010000}"/>
    <cellStyle name="_방동_03구조물공_집계표_깨기수량" xfId="355" xr:uid="{00000000-0005-0000-0000-000062010000}"/>
    <cellStyle name="_방동_03구조물공_집계표_깨기수량_1.역T형옹벽(변경)" xfId="356" xr:uid="{00000000-0005-0000-0000-000063010000}"/>
    <cellStyle name="_방동_03구조물공_집계표_깨기수량_2.역T형옹벽(변경)" xfId="357" xr:uid="{00000000-0005-0000-0000-000064010000}"/>
    <cellStyle name="_방동_03구조물공_집계표_집계표" xfId="358" xr:uid="{00000000-0005-0000-0000-000065010000}"/>
    <cellStyle name="_방동_03구조물공_집계표_집계표_1.역T형옹벽(변경)" xfId="359" xr:uid="{00000000-0005-0000-0000-000066010000}"/>
    <cellStyle name="_방동_03구조물공_집계표_집계표_1공구수량" xfId="360" xr:uid="{00000000-0005-0000-0000-000067010000}"/>
    <cellStyle name="_방동_03구조물공_집계표_집계표_1공구수량_1.역T형옹벽(변경)" xfId="361" xr:uid="{00000000-0005-0000-0000-000068010000}"/>
    <cellStyle name="_방동_03구조물공_집계표_집계표_1공구수량_2.역T형옹벽(변경)" xfId="362" xr:uid="{00000000-0005-0000-0000-000069010000}"/>
    <cellStyle name="_방동_03구조물공_집계표_집계표_2.역T형옹벽(변경)" xfId="363" xr:uid="{00000000-0005-0000-0000-00006A010000}"/>
    <cellStyle name="_방동_03구조물공_집계표_집계표_깨기수량" xfId="364" xr:uid="{00000000-0005-0000-0000-00006B010000}"/>
    <cellStyle name="_방동_03구조물공_집계표_집계표_깨기수량_1.역T형옹벽(변경)" xfId="365" xr:uid="{00000000-0005-0000-0000-00006C010000}"/>
    <cellStyle name="_방동_03구조물공_집계표_집계표_깨기수량_2.역T형옹벽(변경)" xfId="366" xr:uid="{00000000-0005-0000-0000-00006D010000}"/>
    <cellStyle name="_방동_03구조물공_집계표_집계표_호안공" xfId="367" xr:uid="{00000000-0005-0000-0000-00006E010000}"/>
    <cellStyle name="_방동_03구조물공_집계표_집계표_호안공_1.역T형옹벽(변경)" xfId="368" xr:uid="{00000000-0005-0000-0000-00006F010000}"/>
    <cellStyle name="_방동_03구조물공_집계표_집계표_호안공_2.역T형옹벽(변경)" xfId="369" xr:uid="{00000000-0005-0000-0000-000070010000}"/>
    <cellStyle name="_방동_03구조물공_집계표_호안공" xfId="370" xr:uid="{00000000-0005-0000-0000-000071010000}"/>
    <cellStyle name="_방동_03구조물공_집계표_호안공_1.역T형옹벽(변경)" xfId="371" xr:uid="{00000000-0005-0000-0000-000072010000}"/>
    <cellStyle name="_방동_03구조물공_집계표_호안공_2.역T형옹벽(변경)" xfId="372" xr:uid="{00000000-0005-0000-0000-000073010000}"/>
    <cellStyle name="_방동_03구조물공_호안공" xfId="373" xr:uid="{00000000-0005-0000-0000-000074010000}"/>
    <cellStyle name="_방동_03구조물공_호안공_1.역T형옹벽(변경)" xfId="374" xr:uid="{00000000-0005-0000-0000-000075010000}"/>
    <cellStyle name="_방동_03구조물공_호안공_2.역T형옹벽(변경)" xfId="375" xr:uid="{00000000-0005-0000-0000-000076010000}"/>
    <cellStyle name="_방동_03구조물공_호안공_호안공" xfId="376" xr:uid="{00000000-0005-0000-0000-000077010000}"/>
    <cellStyle name="_방동_03구조물공_호안공_호안공_1.역T형옹벽(변경)" xfId="377" xr:uid="{00000000-0005-0000-0000-000078010000}"/>
    <cellStyle name="_방동_03구조물공_호안공_호안공_2.역T형옹벽(변경)" xfId="378" xr:uid="{00000000-0005-0000-0000-000079010000}"/>
    <cellStyle name="_방동_1.역T형옹벽(변경)" xfId="379" xr:uid="{00000000-0005-0000-0000-00007A010000}"/>
    <cellStyle name="_방동_1공구수량" xfId="380" xr:uid="{00000000-0005-0000-0000-00007B010000}"/>
    <cellStyle name="_방동_1공구수량_1.역T형옹벽(변경)" xfId="381" xr:uid="{00000000-0005-0000-0000-00007C010000}"/>
    <cellStyle name="_방동_1공구수량_2.역T형옹벽(변경)" xfId="382" xr:uid="{00000000-0005-0000-0000-00007D010000}"/>
    <cellStyle name="_방동_2.역T형옹벽(변경)" xfId="383" xr:uid="{00000000-0005-0000-0000-00007E010000}"/>
    <cellStyle name="_방동_Book1" xfId="384" xr:uid="{00000000-0005-0000-0000-00007F010000}"/>
    <cellStyle name="_방동_Book1_1.역T형옹벽(변경)" xfId="385" xr:uid="{00000000-0005-0000-0000-000080010000}"/>
    <cellStyle name="_방동_Book1_2.역T형옹벽(변경)" xfId="386" xr:uid="{00000000-0005-0000-0000-000081010000}"/>
    <cellStyle name="_방동_Book1_호안공" xfId="387" xr:uid="{00000000-0005-0000-0000-000082010000}"/>
    <cellStyle name="_방동_Book1_호안공_1.역T형옹벽(변경)" xfId="388" xr:uid="{00000000-0005-0000-0000-000083010000}"/>
    <cellStyle name="_방동_Book1_호안공_2.역T형옹벽(변경)" xfId="389" xr:uid="{00000000-0005-0000-0000-000084010000}"/>
    <cellStyle name="_방동_Book2" xfId="390" xr:uid="{00000000-0005-0000-0000-000085010000}"/>
    <cellStyle name="_방동_Book2_1.역T형옹벽(변경)" xfId="391" xr:uid="{00000000-0005-0000-0000-000086010000}"/>
    <cellStyle name="_방동_Book2_1공구수량" xfId="392" xr:uid="{00000000-0005-0000-0000-000087010000}"/>
    <cellStyle name="_방동_Book2_1공구수량_1.역T형옹벽(변경)" xfId="393" xr:uid="{00000000-0005-0000-0000-000088010000}"/>
    <cellStyle name="_방동_Book2_1공구수량_2.역T형옹벽(변경)" xfId="394" xr:uid="{00000000-0005-0000-0000-000089010000}"/>
    <cellStyle name="_방동_Book2_2.역T형옹벽(변경)" xfId="395" xr:uid="{00000000-0005-0000-0000-00008A010000}"/>
    <cellStyle name="_방동_Book2_깨기수량" xfId="396" xr:uid="{00000000-0005-0000-0000-00008B010000}"/>
    <cellStyle name="_방동_Book2_깨기수량_1.역T형옹벽(변경)" xfId="397" xr:uid="{00000000-0005-0000-0000-00008C010000}"/>
    <cellStyle name="_방동_Book2_깨기수량_2.역T형옹벽(변경)" xfId="398" xr:uid="{00000000-0005-0000-0000-00008D010000}"/>
    <cellStyle name="_방동_Book2_집계표" xfId="399" xr:uid="{00000000-0005-0000-0000-00008E010000}"/>
    <cellStyle name="_방동_Book2_집계표_1.역T형옹벽(변경)" xfId="400" xr:uid="{00000000-0005-0000-0000-00008F010000}"/>
    <cellStyle name="_방동_Book2_집계표_1공구수량" xfId="401" xr:uid="{00000000-0005-0000-0000-000090010000}"/>
    <cellStyle name="_방동_Book2_집계표_1공구수량_1.역T형옹벽(변경)" xfId="402" xr:uid="{00000000-0005-0000-0000-000091010000}"/>
    <cellStyle name="_방동_Book2_집계표_1공구수량_2.역T형옹벽(변경)" xfId="403" xr:uid="{00000000-0005-0000-0000-000092010000}"/>
    <cellStyle name="_방동_Book2_집계표_2.역T형옹벽(변경)" xfId="404" xr:uid="{00000000-0005-0000-0000-000093010000}"/>
    <cellStyle name="_방동_Book2_집계표_깨기수량" xfId="405" xr:uid="{00000000-0005-0000-0000-000094010000}"/>
    <cellStyle name="_방동_Book2_집계표_깨기수량_1.역T형옹벽(변경)" xfId="406" xr:uid="{00000000-0005-0000-0000-000095010000}"/>
    <cellStyle name="_방동_Book2_집계표_깨기수량_2.역T형옹벽(변경)" xfId="407" xr:uid="{00000000-0005-0000-0000-000096010000}"/>
    <cellStyle name="_방동_Book2_집계표_호안공" xfId="408" xr:uid="{00000000-0005-0000-0000-000097010000}"/>
    <cellStyle name="_방동_Book2_집계표_호안공_1.역T형옹벽(변경)" xfId="409" xr:uid="{00000000-0005-0000-0000-000098010000}"/>
    <cellStyle name="_방동_Book2_집계표_호안공_2.역T형옹벽(변경)" xfId="410" xr:uid="{00000000-0005-0000-0000-000099010000}"/>
    <cellStyle name="_방동_Book2_호안공" xfId="411" xr:uid="{00000000-0005-0000-0000-00009A010000}"/>
    <cellStyle name="_방동_Book2_호안공_1.역T형옹벽(변경)" xfId="412" xr:uid="{00000000-0005-0000-0000-00009B010000}"/>
    <cellStyle name="_방동_Book2_호안공_2.역T형옹벽(변경)" xfId="413" xr:uid="{00000000-0005-0000-0000-00009C010000}"/>
    <cellStyle name="_방동_갈전리2공구수량" xfId="414" xr:uid="{00000000-0005-0000-0000-00009D010000}"/>
    <cellStyle name="_방동_갈전리2공구수량_1.역T형옹벽(변경)" xfId="415" xr:uid="{00000000-0005-0000-0000-00009E010000}"/>
    <cellStyle name="_방동_갈전리2공구수량_1공구수량" xfId="416" xr:uid="{00000000-0005-0000-0000-00009F010000}"/>
    <cellStyle name="_방동_갈전리2공구수량_1공구수량_1.역T형옹벽(변경)" xfId="417" xr:uid="{00000000-0005-0000-0000-0000A0010000}"/>
    <cellStyle name="_방동_갈전리2공구수량_1공구수량_2.역T형옹벽(변경)" xfId="418" xr:uid="{00000000-0005-0000-0000-0000A1010000}"/>
    <cellStyle name="_방동_갈전리2공구수량_2.역T형옹벽(변경)" xfId="419" xr:uid="{00000000-0005-0000-0000-0000A2010000}"/>
    <cellStyle name="_방동_갈전리2공구수량_깨기수량" xfId="420" xr:uid="{00000000-0005-0000-0000-0000A3010000}"/>
    <cellStyle name="_방동_갈전리2공구수량_깨기수량_1.역T형옹벽(변경)" xfId="421" xr:uid="{00000000-0005-0000-0000-0000A4010000}"/>
    <cellStyle name="_방동_갈전리2공구수량_깨기수량_2.역T형옹벽(변경)" xfId="422" xr:uid="{00000000-0005-0000-0000-0000A5010000}"/>
    <cellStyle name="_방동_갈전리2공구수량_호안공" xfId="423" xr:uid="{00000000-0005-0000-0000-0000A6010000}"/>
    <cellStyle name="_방동_갈전리2공구수량_호안공_1.역T형옹벽(변경)" xfId="424" xr:uid="{00000000-0005-0000-0000-0000A7010000}"/>
    <cellStyle name="_방동_갈전리2공구수량_호안공_2.역T형옹벽(변경)" xfId="425" xr:uid="{00000000-0005-0000-0000-0000A8010000}"/>
    <cellStyle name="_방동_깨기" xfId="426" xr:uid="{00000000-0005-0000-0000-0000A9010000}"/>
    <cellStyle name="_방동_깨기_1.역T형옹벽(변경)" xfId="427" xr:uid="{00000000-0005-0000-0000-0000AA010000}"/>
    <cellStyle name="_방동_깨기_1공구수량" xfId="428" xr:uid="{00000000-0005-0000-0000-0000AB010000}"/>
    <cellStyle name="_방동_깨기_1공구수량_1.역T형옹벽(변경)" xfId="429" xr:uid="{00000000-0005-0000-0000-0000AC010000}"/>
    <cellStyle name="_방동_깨기_1공구수량_2.역T형옹벽(변경)" xfId="430" xr:uid="{00000000-0005-0000-0000-0000AD010000}"/>
    <cellStyle name="_방동_깨기_2.역T형옹벽(변경)" xfId="431" xr:uid="{00000000-0005-0000-0000-0000AE010000}"/>
    <cellStyle name="_방동_깨기_깨기수량" xfId="432" xr:uid="{00000000-0005-0000-0000-0000AF010000}"/>
    <cellStyle name="_방동_깨기_깨기수량_1.역T형옹벽(변경)" xfId="433" xr:uid="{00000000-0005-0000-0000-0000B0010000}"/>
    <cellStyle name="_방동_깨기_깨기수량_2.역T형옹벽(변경)" xfId="434" xr:uid="{00000000-0005-0000-0000-0000B1010000}"/>
    <cellStyle name="_방동_깨기_호안공" xfId="435" xr:uid="{00000000-0005-0000-0000-0000B2010000}"/>
    <cellStyle name="_방동_깨기_호안공_1.역T형옹벽(변경)" xfId="436" xr:uid="{00000000-0005-0000-0000-0000B3010000}"/>
    <cellStyle name="_방동_깨기_호안공_2.역T형옹벽(변경)" xfId="437" xr:uid="{00000000-0005-0000-0000-0000B4010000}"/>
    <cellStyle name="_방동_깨기수량" xfId="438" xr:uid="{00000000-0005-0000-0000-0000B5010000}"/>
    <cellStyle name="_방동_깨기수량_1.역T형옹벽(변경)" xfId="439" xr:uid="{00000000-0005-0000-0000-0000B6010000}"/>
    <cellStyle name="_방동_깨기수량_2.역T형옹벽(변경)" xfId="440" xr:uid="{00000000-0005-0000-0000-0000B7010000}"/>
    <cellStyle name="_방동_동막리소교량" xfId="441" xr:uid="{00000000-0005-0000-0000-0000B8010000}"/>
    <cellStyle name="_방동_동막리소교량_1.역T형옹벽(변경)" xfId="442" xr:uid="{00000000-0005-0000-0000-0000B9010000}"/>
    <cellStyle name="_방동_동막리소교량_1공구수량" xfId="443" xr:uid="{00000000-0005-0000-0000-0000BA010000}"/>
    <cellStyle name="_방동_동막리소교량_1공구수량_1.역T형옹벽(변경)" xfId="444" xr:uid="{00000000-0005-0000-0000-0000BB010000}"/>
    <cellStyle name="_방동_동막리소교량_1공구수량_2.역T형옹벽(변경)" xfId="445" xr:uid="{00000000-0005-0000-0000-0000BC010000}"/>
    <cellStyle name="_방동_동막리소교량_2.역T형옹벽(변경)" xfId="446" xr:uid="{00000000-0005-0000-0000-0000BD010000}"/>
    <cellStyle name="_방동_동막리소교량_Book1" xfId="447" xr:uid="{00000000-0005-0000-0000-0000BE010000}"/>
    <cellStyle name="_방동_동막리소교량_Book1_1.역T형옹벽(변경)" xfId="448" xr:uid="{00000000-0005-0000-0000-0000BF010000}"/>
    <cellStyle name="_방동_동막리소교량_Book1_2.역T형옹벽(변경)" xfId="449" xr:uid="{00000000-0005-0000-0000-0000C0010000}"/>
    <cellStyle name="_방동_동막리소교량_Book1_호안공" xfId="450" xr:uid="{00000000-0005-0000-0000-0000C1010000}"/>
    <cellStyle name="_방동_동막리소교량_Book1_호안공_1.역T형옹벽(변경)" xfId="451" xr:uid="{00000000-0005-0000-0000-0000C2010000}"/>
    <cellStyle name="_방동_동막리소교량_Book1_호안공_2.역T형옹벽(변경)" xfId="452" xr:uid="{00000000-0005-0000-0000-0000C3010000}"/>
    <cellStyle name="_방동_동막리소교량_Book2" xfId="453" xr:uid="{00000000-0005-0000-0000-0000C4010000}"/>
    <cellStyle name="_방동_동막리소교량_Book2_1.역T형옹벽(변경)" xfId="454" xr:uid="{00000000-0005-0000-0000-0000C5010000}"/>
    <cellStyle name="_방동_동막리소교량_Book2_1공구수량" xfId="455" xr:uid="{00000000-0005-0000-0000-0000C6010000}"/>
    <cellStyle name="_방동_동막리소교량_Book2_1공구수량_1.역T형옹벽(변경)" xfId="456" xr:uid="{00000000-0005-0000-0000-0000C7010000}"/>
    <cellStyle name="_방동_동막리소교량_Book2_1공구수량_2.역T형옹벽(변경)" xfId="457" xr:uid="{00000000-0005-0000-0000-0000C8010000}"/>
    <cellStyle name="_방동_동막리소교량_Book2_2.역T형옹벽(변경)" xfId="458" xr:uid="{00000000-0005-0000-0000-0000C9010000}"/>
    <cellStyle name="_방동_동막리소교량_Book2_깨기수량" xfId="459" xr:uid="{00000000-0005-0000-0000-0000CA010000}"/>
    <cellStyle name="_방동_동막리소교량_Book2_깨기수량_1.역T형옹벽(변경)" xfId="460" xr:uid="{00000000-0005-0000-0000-0000CB010000}"/>
    <cellStyle name="_방동_동막리소교량_Book2_깨기수량_2.역T형옹벽(변경)" xfId="461" xr:uid="{00000000-0005-0000-0000-0000CC010000}"/>
    <cellStyle name="_방동_동막리소교량_Book2_집계표" xfId="462" xr:uid="{00000000-0005-0000-0000-0000CD010000}"/>
    <cellStyle name="_방동_동막리소교량_Book2_집계표_1.역T형옹벽(변경)" xfId="463" xr:uid="{00000000-0005-0000-0000-0000CE010000}"/>
    <cellStyle name="_방동_동막리소교량_Book2_집계표_1공구수량" xfId="464" xr:uid="{00000000-0005-0000-0000-0000CF010000}"/>
    <cellStyle name="_방동_동막리소교량_Book2_집계표_1공구수량_1.역T형옹벽(변경)" xfId="465" xr:uid="{00000000-0005-0000-0000-0000D0010000}"/>
    <cellStyle name="_방동_동막리소교량_Book2_집계표_1공구수량_2.역T형옹벽(변경)" xfId="466" xr:uid="{00000000-0005-0000-0000-0000D1010000}"/>
    <cellStyle name="_방동_동막리소교량_Book2_집계표_2.역T형옹벽(변경)" xfId="467" xr:uid="{00000000-0005-0000-0000-0000D2010000}"/>
    <cellStyle name="_방동_동막리소교량_Book2_집계표_깨기수량" xfId="468" xr:uid="{00000000-0005-0000-0000-0000D3010000}"/>
    <cellStyle name="_방동_동막리소교량_Book2_집계표_깨기수량_1.역T형옹벽(변경)" xfId="469" xr:uid="{00000000-0005-0000-0000-0000D4010000}"/>
    <cellStyle name="_방동_동막리소교량_Book2_집계표_깨기수량_2.역T형옹벽(변경)" xfId="470" xr:uid="{00000000-0005-0000-0000-0000D5010000}"/>
    <cellStyle name="_방동_동막리소교량_Book2_집계표_호안공" xfId="471" xr:uid="{00000000-0005-0000-0000-0000D6010000}"/>
    <cellStyle name="_방동_동막리소교량_Book2_집계표_호안공_1.역T형옹벽(변경)" xfId="472" xr:uid="{00000000-0005-0000-0000-0000D7010000}"/>
    <cellStyle name="_방동_동막리소교량_Book2_집계표_호안공_2.역T형옹벽(변경)" xfId="473" xr:uid="{00000000-0005-0000-0000-0000D8010000}"/>
    <cellStyle name="_방동_동막리소교량_Book2_호안공" xfId="474" xr:uid="{00000000-0005-0000-0000-0000D9010000}"/>
    <cellStyle name="_방동_동막리소교량_Book2_호안공_1.역T형옹벽(변경)" xfId="475" xr:uid="{00000000-0005-0000-0000-0000DA010000}"/>
    <cellStyle name="_방동_동막리소교량_Book2_호안공_2.역T형옹벽(변경)" xfId="476" xr:uid="{00000000-0005-0000-0000-0000DB010000}"/>
    <cellStyle name="_방동_동막리소교량_갈전리2공구수량" xfId="477" xr:uid="{00000000-0005-0000-0000-0000DC010000}"/>
    <cellStyle name="_방동_동막리소교량_갈전리2공구수량_1.역T형옹벽(변경)" xfId="478" xr:uid="{00000000-0005-0000-0000-0000DD010000}"/>
    <cellStyle name="_방동_동막리소교량_갈전리2공구수량_1공구수량" xfId="479" xr:uid="{00000000-0005-0000-0000-0000DE010000}"/>
    <cellStyle name="_방동_동막리소교량_갈전리2공구수량_1공구수량_1.역T형옹벽(변경)" xfId="480" xr:uid="{00000000-0005-0000-0000-0000DF010000}"/>
    <cellStyle name="_방동_동막리소교량_갈전리2공구수량_1공구수량_2.역T형옹벽(변경)" xfId="481" xr:uid="{00000000-0005-0000-0000-0000E0010000}"/>
    <cellStyle name="_방동_동막리소교량_갈전리2공구수량_2.역T형옹벽(변경)" xfId="482" xr:uid="{00000000-0005-0000-0000-0000E1010000}"/>
    <cellStyle name="_방동_동막리소교량_갈전리2공구수량_깨기수량" xfId="483" xr:uid="{00000000-0005-0000-0000-0000E2010000}"/>
    <cellStyle name="_방동_동막리소교량_갈전리2공구수량_깨기수량_1.역T형옹벽(변경)" xfId="484" xr:uid="{00000000-0005-0000-0000-0000E3010000}"/>
    <cellStyle name="_방동_동막리소교량_갈전리2공구수량_깨기수량_2.역T형옹벽(변경)" xfId="485" xr:uid="{00000000-0005-0000-0000-0000E4010000}"/>
    <cellStyle name="_방동_동막리소교량_갈전리2공구수량_호안공" xfId="486" xr:uid="{00000000-0005-0000-0000-0000E5010000}"/>
    <cellStyle name="_방동_동막리소교량_갈전리2공구수량_호안공_1.역T형옹벽(변경)" xfId="487" xr:uid="{00000000-0005-0000-0000-0000E6010000}"/>
    <cellStyle name="_방동_동막리소교량_갈전리2공구수량_호안공_2.역T형옹벽(변경)" xfId="488" xr:uid="{00000000-0005-0000-0000-0000E7010000}"/>
    <cellStyle name="_방동_동막리소교량_깨기" xfId="489" xr:uid="{00000000-0005-0000-0000-0000E8010000}"/>
    <cellStyle name="_방동_동막리소교량_깨기_1.역T형옹벽(변경)" xfId="490" xr:uid="{00000000-0005-0000-0000-0000E9010000}"/>
    <cellStyle name="_방동_동막리소교량_깨기_1공구수량" xfId="491" xr:uid="{00000000-0005-0000-0000-0000EA010000}"/>
    <cellStyle name="_방동_동막리소교량_깨기_1공구수량_1.역T형옹벽(변경)" xfId="492" xr:uid="{00000000-0005-0000-0000-0000EB010000}"/>
    <cellStyle name="_방동_동막리소교량_깨기_1공구수량_2.역T형옹벽(변경)" xfId="493" xr:uid="{00000000-0005-0000-0000-0000EC010000}"/>
    <cellStyle name="_방동_동막리소교량_깨기_2.역T형옹벽(변경)" xfId="494" xr:uid="{00000000-0005-0000-0000-0000ED010000}"/>
    <cellStyle name="_방동_동막리소교량_깨기_깨기수량" xfId="495" xr:uid="{00000000-0005-0000-0000-0000EE010000}"/>
    <cellStyle name="_방동_동막리소교량_깨기_깨기수량_1.역T형옹벽(변경)" xfId="496" xr:uid="{00000000-0005-0000-0000-0000EF010000}"/>
    <cellStyle name="_방동_동막리소교량_깨기_깨기수량_2.역T형옹벽(변경)" xfId="497" xr:uid="{00000000-0005-0000-0000-0000F0010000}"/>
    <cellStyle name="_방동_동막리소교량_깨기_호안공" xfId="498" xr:uid="{00000000-0005-0000-0000-0000F1010000}"/>
    <cellStyle name="_방동_동막리소교량_깨기_호안공_1.역T형옹벽(변경)" xfId="499" xr:uid="{00000000-0005-0000-0000-0000F2010000}"/>
    <cellStyle name="_방동_동막리소교량_깨기_호안공_2.역T형옹벽(변경)" xfId="500" xr:uid="{00000000-0005-0000-0000-0000F3010000}"/>
    <cellStyle name="_방동_동막리소교량_깨기수량" xfId="501" xr:uid="{00000000-0005-0000-0000-0000F4010000}"/>
    <cellStyle name="_방동_동막리소교량_깨기수량_1.역T형옹벽(변경)" xfId="502" xr:uid="{00000000-0005-0000-0000-0000F5010000}"/>
    <cellStyle name="_방동_동막리소교량_깨기수량_2.역T형옹벽(변경)" xfId="503" xr:uid="{00000000-0005-0000-0000-0000F6010000}"/>
    <cellStyle name="_방동_동막리소교량_수량" xfId="504" xr:uid="{00000000-0005-0000-0000-0000F7010000}"/>
    <cellStyle name="_방동_동막리소교량_수량(말미골천)" xfId="505" xr:uid="{00000000-0005-0000-0000-0000F8010000}"/>
    <cellStyle name="_방동_동막리소교량_수량(말미골천)_1.역T형옹벽(변경)" xfId="506" xr:uid="{00000000-0005-0000-0000-0000F9010000}"/>
    <cellStyle name="_방동_동막리소교량_수량(말미골천)_1공구수량" xfId="507" xr:uid="{00000000-0005-0000-0000-0000FA010000}"/>
    <cellStyle name="_방동_동막리소교량_수량(말미골천)_1공구수량_1.역T형옹벽(변경)" xfId="508" xr:uid="{00000000-0005-0000-0000-0000FB010000}"/>
    <cellStyle name="_방동_동막리소교량_수량(말미골천)_1공구수량_2.역T형옹벽(변경)" xfId="509" xr:uid="{00000000-0005-0000-0000-0000FC010000}"/>
    <cellStyle name="_방동_동막리소교량_수량(말미골천)_2.역T형옹벽(변경)" xfId="510" xr:uid="{00000000-0005-0000-0000-0000FD010000}"/>
    <cellStyle name="_방동_동막리소교량_수량(말미골천)_깨기수량" xfId="511" xr:uid="{00000000-0005-0000-0000-0000FE010000}"/>
    <cellStyle name="_방동_동막리소교량_수량(말미골천)_깨기수량_1.역T형옹벽(변경)" xfId="512" xr:uid="{00000000-0005-0000-0000-0000FF010000}"/>
    <cellStyle name="_방동_동막리소교량_수량(말미골천)_깨기수량_2.역T형옹벽(변경)" xfId="513" xr:uid="{00000000-0005-0000-0000-000000020000}"/>
    <cellStyle name="_방동_동막리소교량_수량(말미골천)_호안공" xfId="514" xr:uid="{00000000-0005-0000-0000-000001020000}"/>
    <cellStyle name="_방동_동막리소교량_수량(말미골천)_호안공_1.역T형옹벽(변경)" xfId="515" xr:uid="{00000000-0005-0000-0000-000002020000}"/>
    <cellStyle name="_방동_동막리소교량_수량(말미골천)_호안공_2.역T형옹벽(변경)" xfId="516" xr:uid="{00000000-0005-0000-0000-000003020000}"/>
    <cellStyle name="_방동_동막리소교량_수량_1.역T형옹벽(변경)" xfId="517" xr:uid="{00000000-0005-0000-0000-000004020000}"/>
    <cellStyle name="_방동_동막리소교량_수량_1공구수량" xfId="518" xr:uid="{00000000-0005-0000-0000-000005020000}"/>
    <cellStyle name="_방동_동막리소교량_수량_1공구수량_1.역T형옹벽(변경)" xfId="519" xr:uid="{00000000-0005-0000-0000-000006020000}"/>
    <cellStyle name="_방동_동막리소교량_수량_1공구수량_2.역T형옹벽(변경)" xfId="520" xr:uid="{00000000-0005-0000-0000-000007020000}"/>
    <cellStyle name="_방동_동막리소교량_수량_2.역T형옹벽(변경)" xfId="521" xr:uid="{00000000-0005-0000-0000-000008020000}"/>
    <cellStyle name="_방동_동막리소교량_수량_깨기수량" xfId="522" xr:uid="{00000000-0005-0000-0000-000009020000}"/>
    <cellStyle name="_방동_동막리소교량_수량_깨기수량_1.역T형옹벽(변경)" xfId="523" xr:uid="{00000000-0005-0000-0000-00000A020000}"/>
    <cellStyle name="_방동_동막리소교량_수량_깨기수량_2.역T형옹벽(변경)" xfId="524" xr:uid="{00000000-0005-0000-0000-00000B020000}"/>
    <cellStyle name="_방동_동막리소교량_수량_호안공" xfId="525" xr:uid="{00000000-0005-0000-0000-00000C020000}"/>
    <cellStyle name="_방동_동막리소교량_수량_호안공_1.역T형옹벽(변경)" xfId="526" xr:uid="{00000000-0005-0000-0000-00000D020000}"/>
    <cellStyle name="_방동_동막리소교량_수량_호안공_2.역T형옹벽(변경)" xfId="527" xr:uid="{00000000-0005-0000-0000-00000E020000}"/>
    <cellStyle name="_방동_동막리소교량_수량산출서" xfId="528" xr:uid="{00000000-0005-0000-0000-00000F020000}"/>
    <cellStyle name="_방동_동막리소교량_수량산출서_1.역T형옹벽(변경)" xfId="529" xr:uid="{00000000-0005-0000-0000-000010020000}"/>
    <cellStyle name="_방동_동막리소교량_수량산출서_1공구수량" xfId="530" xr:uid="{00000000-0005-0000-0000-000011020000}"/>
    <cellStyle name="_방동_동막리소교량_수량산출서_1공구수량_1.역T형옹벽(변경)" xfId="531" xr:uid="{00000000-0005-0000-0000-000012020000}"/>
    <cellStyle name="_방동_동막리소교량_수량산출서_1공구수량_2.역T형옹벽(변경)" xfId="532" xr:uid="{00000000-0005-0000-0000-000013020000}"/>
    <cellStyle name="_방동_동막리소교량_수량산출서_2.역T형옹벽(변경)" xfId="533" xr:uid="{00000000-0005-0000-0000-000014020000}"/>
    <cellStyle name="_방동_동막리소교량_수량산출서_깨기수량" xfId="534" xr:uid="{00000000-0005-0000-0000-000015020000}"/>
    <cellStyle name="_방동_동막리소교량_수량산출서_깨기수량_1.역T형옹벽(변경)" xfId="535" xr:uid="{00000000-0005-0000-0000-000016020000}"/>
    <cellStyle name="_방동_동막리소교량_수량산출서_깨기수량_2.역T형옹벽(변경)" xfId="536" xr:uid="{00000000-0005-0000-0000-000017020000}"/>
    <cellStyle name="_방동_동막리소교량_수량산출서_호안공" xfId="537" xr:uid="{00000000-0005-0000-0000-000018020000}"/>
    <cellStyle name="_방동_동막리소교량_수량산출서_호안공_1.역T형옹벽(변경)" xfId="538" xr:uid="{00000000-0005-0000-0000-000019020000}"/>
    <cellStyle name="_방동_동막리소교량_수량산출서_호안공_2.역T형옹벽(변경)" xfId="539" xr:uid="{00000000-0005-0000-0000-00001A020000}"/>
    <cellStyle name="_방동_동막리소교량_집계표" xfId="540" xr:uid="{00000000-0005-0000-0000-00001B020000}"/>
    <cellStyle name="_방동_동막리소교량_집계표_1.역T형옹벽(변경)" xfId="541" xr:uid="{00000000-0005-0000-0000-00001C020000}"/>
    <cellStyle name="_방동_동막리소교량_집계표_1공구수량" xfId="542" xr:uid="{00000000-0005-0000-0000-00001D020000}"/>
    <cellStyle name="_방동_동막리소교량_집계표_1공구수량_1.역T형옹벽(변경)" xfId="543" xr:uid="{00000000-0005-0000-0000-00001E020000}"/>
    <cellStyle name="_방동_동막리소교량_집계표_1공구수량_2.역T형옹벽(변경)" xfId="544" xr:uid="{00000000-0005-0000-0000-00001F020000}"/>
    <cellStyle name="_방동_동막리소교량_집계표_2.역T형옹벽(변경)" xfId="545" xr:uid="{00000000-0005-0000-0000-000020020000}"/>
    <cellStyle name="_방동_동막리소교량_집계표_깨기수량" xfId="546" xr:uid="{00000000-0005-0000-0000-000021020000}"/>
    <cellStyle name="_방동_동막리소교량_집계표_깨기수량_1.역T형옹벽(변경)" xfId="547" xr:uid="{00000000-0005-0000-0000-000022020000}"/>
    <cellStyle name="_방동_동막리소교량_집계표_깨기수량_2.역T형옹벽(변경)" xfId="548" xr:uid="{00000000-0005-0000-0000-000023020000}"/>
    <cellStyle name="_방동_동막리소교량_집계표_집계표" xfId="549" xr:uid="{00000000-0005-0000-0000-000024020000}"/>
    <cellStyle name="_방동_동막리소교량_집계표_집계표_1.역T형옹벽(변경)" xfId="550" xr:uid="{00000000-0005-0000-0000-000025020000}"/>
    <cellStyle name="_방동_동막리소교량_집계표_집계표_1공구수량" xfId="551" xr:uid="{00000000-0005-0000-0000-000026020000}"/>
    <cellStyle name="_방동_동막리소교량_집계표_집계표_1공구수량_1.역T형옹벽(변경)" xfId="552" xr:uid="{00000000-0005-0000-0000-000027020000}"/>
    <cellStyle name="_방동_동막리소교량_집계표_집계표_1공구수량_2.역T형옹벽(변경)" xfId="553" xr:uid="{00000000-0005-0000-0000-000028020000}"/>
    <cellStyle name="_방동_동막리소교량_집계표_집계표_2.역T형옹벽(변경)" xfId="554" xr:uid="{00000000-0005-0000-0000-000029020000}"/>
    <cellStyle name="_방동_동막리소교량_집계표_집계표_깨기수량" xfId="555" xr:uid="{00000000-0005-0000-0000-00002A020000}"/>
    <cellStyle name="_방동_동막리소교량_집계표_집계표_깨기수량_1.역T형옹벽(변경)" xfId="556" xr:uid="{00000000-0005-0000-0000-00002B020000}"/>
    <cellStyle name="_방동_동막리소교량_집계표_집계표_깨기수량_2.역T형옹벽(변경)" xfId="557" xr:uid="{00000000-0005-0000-0000-00002C020000}"/>
    <cellStyle name="_방동_동막리소교량_집계표_집계표_호안공" xfId="558" xr:uid="{00000000-0005-0000-0000-00002D020000}"/>
    <cellStyle name="_방동_동막리소교량_집계표_집계표_호안공_1.역T형옹벽(변경)" xfId="559" xr:uid="{00000000-0005-0000-0000-00002E020000}"/>
    <cellStyle name="_방동_동막리소교량_집계표_집계표_호안공_2.역T형옹벽(변경)" xfId="560" xr:uid="{00000000-0005-0000-0000-00002F020000}"/>
    <cellStyle name="_방동_동막리소교량_집계표_호안공" xfId="561" xr:uid="{00000000-0005-0000-0000-000030020000}"/>
    <cellStyle name="_방동_동막리소교량_집계표_호안공_1.역T형옹벽(변경)" xfId="562" xr:uid="{00000000-0005-0000-0000-000031020000}"/>
    <cellStyle name="_방동_동막리소교량_집계표_호안공_2.역T형옹벽(변경)" xfId="563" xr:uid="{00000000-0005-0000-0000-000032020000}"/>
    <cellStyle name="_방동_동막리소교량_호안공" xfId="564" xr:uid="{00000000-0005-0000-0000-000033020000}"/>
    <cellStyle name="_방동_동막리소교량_호안공_1.역T형옹벽(변경)" xfId="565" xr:uid="{00000000-0005-0000-0000-000034020000}"/>
    <cellStyle name="_방동_동막리소교량_호안공_2.역T형옹벽(변경)" xfId="566" xr:uid="{00000000-0005-0000-0000-000035020000}"/>
    <cellStyle name="_방동_동막리소교량_호안공_호안공" xfId="567" xr:uid="{00000000-0005-0000-0000-000036020000}"/>
    <cellStyle name="_방동_동막리소교량_호안공_호안공_1.역T형옹벽(변경)" xfId="568" xr:uid="{00000000-0005-0000-0000-000037020000}"/>
    <cellStyle name="_방동_동막리소교량_호안공_호안공_2.역T형옹벽(변경)" xfId="569" xr:uid="{00000000-0005-0000-0000-000038020000}"/>
    <cellStyle name="_방동_마현12~1" xfId="570" xr:uid="{00000000-0005-0000-0000-000039020000}"/>
    <cellStyle name="_방동_마현12~1_1.역T형옹벽(변경)" xfId="571" xr:uid="{00000000-0005-0000-0000-00003A020000}"/>
    <cellStyle name="_방동_마현12~1_1공구수량" xfId="572" xr:uid="{00000000-0005-0000-0000-00003B020000}"/>
    <cellStyle name="_방동_마현12~1_1공구수량_1.역T형옹벽(변경)" xfId="573" xr:uid="{00000000-0005-0000-0000-00003C020000}"/>
    <cellStyle name="_방동_마현12~1_1공구수량_2.역T형옹벽(변경)" xfId="574" xr:uid="{00000000-0005-0000-0000-00003D020000}"/>
    <cellStyle name="_방동_마현12~1_2.역T형옹벽(변경)" xfId="575" xr:uid="{00000000-0005-0000-0000-00003E020000}"/>
    <cellStyle name="_방동_마현12~1_Book1" xfId="576" xr:uid="{00000000-0005-0000-0000-00003F020000}"/>
    <cellStyle name="_방동_마현12~1_Book1_1.역T형옹벽(변경)" xfId="577" xr:uid="{00000000-0005-0000-0000-000040020000}"/>
    <cellStyle name="_방동_마현12~1_Book1_2.역T형옹벽(변경)" xfId="578" xr:uid="{00000000-0005-0000-0000-000041020000}"/>
    <cellStyle name="_방동_마현12~1_Book1_호안공" xfId="579" xr:uid="{00000000-0005-0000-0000-000042020000}"/>
    <cellStyle name="_방동_마현12~1_Book1_호안공_1.역T형옹벽(변경)" xfId="580" xr:uid="{00000000-0005-0000-0000-000043020000}"/>
    <cellStyle name="_방동_마현12~1_Book1_호안공_2.역T형옹벽(변경)" xfId="581" xr:uid="{00000000-0005-0000-0000-000044020000}"/>
    <cellStyle name="_방동_마현12~1_Book2" xfId="582" xr:uid="{00000000-0005-0000-0000-000045020000}"/>
    <cellStyle name="_방동_마현12~1_Book2_1.역T형옹벽(변경)" xfId="583" xr:uid="{00000000-0005-0000-0000-000046020000}"/>
    <cellStyle name="_방동_마현12~1_Book2_1공구수량" xfId="584" xr:uid="{00000000-0005-0000-0000-000047020000}"/>
    <cellStyle name="_방동_마현12~1_Book2_1공구수량_1.역T형옹벽(변경)" xfId="585" xr:uid="{00000000-0005-0000-0000-000048020000}"/>
    <cellStyle name="_방동_마현12~1_Book2_1공구수량_2.역T형옹벽(변경)" xfId="586" xr:uid="{00000000-0005-0000-0000-000049020000}"/>
    <cellStyle name="_방동_마현12~1_Book2_2.역T형옹벽(변경)" xfId="587" xr:uid="{00000000-0005-0000-0000-00004A020000}"/>
    <cellStyle name="_방동_마현12~1_Book2_깨기수량" xfId="588" xr:uid="{00000000-0005-0000-0000-00004B020000}"/>
    <cellStyle name="_방동_마현12~1_Book2_깨기수량_1.역T형옹벽(변경)" xfId="589" xr:uid="{00000000-0005-0000-0000-00004C020000}"/>
    <cellStyle name="_방동_마현12~1_Book2_깨기수량_2.역T형옹벽(변경)" xfId="590" xr:uid="{00000000-0005-0000-0000-00004D020000}"/>
    <cellStyle name="_방동_마현12~1_Book2_집계표" xfId="591" xr:uid="{00000000-0005-0000-0000-00004E020000}"/>
    <cellStyle name="_방동_마현12~1_Book2_집계표_1.역T형옹벽(변경)" xfId="592" xr:uid="{00000000-0005-0000-0000-00004F020000}"/>
    <cellStyle name="_방동_마현12~1_Book2_집계표_1공구수량" xfId="593" xr:uid="{00000000-0005-0000-0000-000050020000}"/>
    <cellStyle name="_방동_마현12~1_Book2_집계표_1공구수량_1.역T형옹벽(변경)" xfId="594" xr:uid="{00000000-0005-0000-0000-000051020000}"/>
    <cellStyle name="_방동_마현12~1_Book2_집계표_1공구수량_2.역T형옹벽(변경)" xfId="595" xr:uid="{00000000-0005-0000-0000-000052020000}"/>
    <cellStyle name="_방동_마현12~1_Book2_집계표_2.역T형옹벽(변경)" xfId="596" xr:uid="{00000000-0005-0000-0000-000053020000}"/>
    <cellStyle name="_방동_마현12~1_Book2_집계표_깨기수량" xfId="597" xr:uid="{00000000-0005-0000-0000-000054020000}"/>
    <cellStyle name="_방동_마현12~1_Book2_집계표_깨기수량_1.역T형옹벽(변경)" xfId="598" xr:uid="{00000000-0005-0000-0000-000055020000}"/>
    <cellStyle name="_방동_마현12~1_Book2_집계표_깨기수량_2.역T형옹벽(변경)" xfId="599" xr:uid="{00000000-0005-0000-0000-000056020000}"/>
    <cellStyle name="_방동_마현12~1_Book2_집계표_호안공" xfId="600" xr:uid="{00000000-0005-0000-0000-000057020000}"/>
    <cellStyle name="_방동_마현12~1_Book2_집계표_호안공_1.역T형옹벽(변경)" xfId="601" xr:uid="{00000000-0005-0000-0000-000058020000}"/>
    <cellStyle name="_방동_마현12~1_Book2_집계표_호안공_2.역T형옹벽(변경)" xfId="602" xr:uid="{00000000-0005-0000-0000-000059020000}"/>
    <cellStyle name="_방동_마현12~1_Book2_호안공" xfId="603" xr:uid="{00000000-0005-0000-0000-00005A020000}"/>
    <cellStyle name="_방동_마현12~1_Book2_호안공_1.역T형옹벽(변경)" xfId="604" xr:uid="{00000000-0005-0000-0000-00005B020000}"/>
    <cellStyle name="_방동_마현12~1_Book2_호안공_2.역T형옹벽(변경)" xfId="605" xr:uid="{00000000-0005-0000-0000-00005C020000}"/>
    <cellStyle name="_방동_마현12~1_갈전리2공구수량" xfId="606" xr:uid="{00000000-0005-0000-0000-00005D020000}"/>
    <cellStyle name="_방동_마현12~1_갈전리2공구수량_1.역T형옹벽(변경)" xfId="607" xr:uid="{00000000-0005-0000-0000-00005E020000}"/>
    <cellStyle name="_방동_마현12~1_갈전리2공구수량_1공구수량" xfId="608" xr:uid="{00000000-0005-0000-0000-00005F020000}"/>
    <cellStyle name="_방동_마현12~1_갈전리2공구수량_1공구수량_1.역T형옹벽(변경)" xfId="609" xr:uid="{00000000-0005-0000-0000-000060020000}"/>
    <cellStyle name="_방동_마현12~1_갈전리2공구수량_1공구수량_2.역T형옹벽(변경)" xfId="610" xr:uid="{00000000-0005-0000-0000-000061020000}"/>
    <cellStyle name="_방동_마현12~1_갈전리2공구수량_2.역T형옹벽(변경)" xfId="611" xr:uid="{00000000-0005-0000-0000-000062020000}"/>
    <cellStyle name="_방동_마현12~1_갈전리2공구수량_깨기수량" xfId="612" xr:uid="{00000000-0005-0000-0000-000063020000}"/>
    <cellStyle name="_방동_마현12~1_갈전리2공구수량_깨기수량_1.역T형옹벽(변경)" xfId="613" xr:uid="{00000000-0005-0000-0000-000064020000}"/>
    <cellStyle name="_방동_마현12~1_갈전리2공구수량_깨기수량_2.역T형옹벽(변경)" xfId="614" xr:uid="{00000000-0005-0000-0000-000065020000}"/>
    <cellStyle name="_방동_마현12~1_갈전리2공구수량_호안공" xfId="615" xr:uid="{00000000-0005-0000-0000-000066020000}"/>
    <cellStyle name="_방동_마현12~1_갈전리2공구수량_호안공_1.역T형옹벽(변경)" xfId="616" xr:uid="{00000000-0005-0000-0000-000067020000}"/>
    <cellStyle name="_방동_마현12~1_갈전리2공구수량_호안공_2.역T형옹벽(변경)" xfId="617" xr:uid="{00000000-0005-0000-0000-000068020000}"/>
    <cellStyle name="_방동_마현12~1_깨기" xfId="618" xr:uid="{00000000-0005-0000-0000-000069020000}"/>
    <cellStyle name="_방동_마현12~1_깨기_1.역T형옹벽(변경)" xfId="619" xr:uid="{00000000-0005-0000-0000-00006A020000}"/>
    <cellStyle name="_방동_마현12~1_깨기_1공구수량" xfId="620" xr:uid="{00000000-0005-0000-0000-00006B020000}"/>
    <cellStyle name="_방동_마현12~1_깨기_1공구수량_1.역T형옹벽(변경)" xfId="621" xr:uid="{00000000-0005-0000-0000-00006C020000}"/>
    <cellStyle name="_방동_마현12~1_깨기_1공구수량_2.역T형옹벽(변경)" xfId="622" xr:uid="{00000000-0005-0000-0000-00006D020000}"/>
    <cellStyle name="_방동_마현12~1_깨기_2.역T형옹벽(변경)" xfId="623" xr:uid="{00000000-0005-0000-0000-00006E020000}"/>
    <cellStyle name="_방동_마현12~1_깨기_깨기수량" xfId="624" xr:uid="{00000000-0005-0000-0000-00006F020000}"/>
    <cellStyle name="_방동_마현12~1_깨기_깨기수량_1.역T형옹벽(변경)" xfId="625" xr:uid="{00000000-0005-0000-0000-000070020000}"/>
    <cellStyle name="_방동_마현12~1_깨기_깨기수량_2.역T형옹벽(변경)" xfId="626" xr:uid="{00000000-0005-0000-0000-000071020000}"/>
    <cellStyle name="_방동_마현12~1_깨기_호안공" xfId="627" xr:uid="{00000000-0005-0000-0000-000072020000}"/>
    <cellStyle name="_방동_마현12~1_깨기_호안공_1.역T형옹벽(변경)" xfId="628" xr:uid="{00000000-0005-0000-0000-000073020000}"/>
    <cellStyle name="_방동_마현12~1_깨기_호안공_2.역T형옹벽(변경)" xfId="629" xr:uid="{00000000-0005-0000-0000-000074020000}"/>
    <cellStyle name="_방동_마현12~1_깨기수량" xfId="630" xr:uid="{00000000-0005-0000-0000-000075020000}"/>
    <cellStyle name="_방동_마현12~1_깨기수량_1.역T형옹벽(변경)" xfId="631" xr:uid="{00000000-0005-0000-0000-000076020000}"/>
    <cellStyle name="_방동_마현12~1_깨기수량_2.역T형옹벽(변경)" xfId="632" xr:uid="{00000000-0005-0000-0000-000077020000}"/>
    <cellStyle name="_방동_마현12~1_수량" xfId="633" xr:uid="{00000000-0005-0000-0000-000078020000}"/>
    <cellStyle name="_방동_마현12~1_수량(말미골천)" xfId="634" xr:uid="{00000000-0005-0000-0000-000079020000}"/>
    <cellStyle name="_방동_마현12~1_수량(말미골천)_1.역T형옹벽(변경)" xfId="635" xr:uid="{00000000-0005-0000-0000-00007A020000}"/>
    <cellStyle name="_방동_마현12~1_수량(말미골천)_1공구수량" xfId="636" xr:uid="{00000000-0005-0000-0000-00007B020000}"/>
    <cellStyle name="_방동_마현12~1_수량(말미골천)_1공구수량_1.역T형옹벽(변경)" xfId="637" xr:uid="{00000000-0005-0000-0000-00007C020000}"/>
    <cellStyle name="_방동_마현12~1_수량(말미골천)_1공구수량_2.역T형옹벽(변경)" xfId="638" xr:uid="{00000000-0005-0000-0000-00007D020000}"/>
    <cellStyle name="_방동_마현12~1_수량(말미골천)_2.역T형옹벽(변경)" xfId="639" xr:uid="{00000000-0005-0000-0000-00007E020000}"/>
    <cellStyle name="_방동_마현12~1_수량(말미골천)_깨기수량" xfId="640" xr:uid="{00000000-0005-0000-0000-00007F020000}"/>
    <cellStyle name="_방동_마현12~1_수량(말미골천)_깨기수량_1.역T형옹벽(변경)" xfId="641" xr:uid="{00000000-0005-0000-0000-000080020000}"/>
    <cellStyle name="_방동_마현12~1_수량(말미골천)_깨기수량_2.역T형옹벽(변경)" xfId="642" xr:uid="{00000000-0005-0000-0000-000081020000}"/>
    <cellStyle name="_방동_마현12~1_수량(말미골천)_호안공" xfId="643" xr:uid="{00000000-0005-0000-0000-000082020000}"/>
    <cellStyle name="_방동_마현12~1_수량(말미골천)_호안공_1.역T형옹벽(변경)" xfId="644" xr:uid="{00000000-0005-0000-0000-000083020000}"/>
    <cellStyle name="_방동_마현12~1_수량(말미골천)_호안공_2.역T형옹벽(변경)" xfId="645" xr:uid="{00000000-0005-0000-0000-000084020000}"/>
    <cellStyle name="_방동_마현12~1_수량_1.역T형옹벽(변경)" xfId="646" xr:uid="{00000000-0005-0000-0000-000085020000}"/>
    <cellStyle name="_방동_마현12~1_수량_1공구수량" xfId="647" xr:uid="{00000000-0005-0000-0000-000086020000}"/>
    <cellStyle name="_방동_마현12~1_수량_1공구수량_1.역T형옹벽(변경)" xfId="648" xr:uid="{00000000-0005-0000-0000-000087020000}"/>
    <cellStyle name="_방동_마현12~1_수량_1공구수량_2.역T형옹벽(변경)" xfId="649" xr:uid="{00000000-0005-0000-0000-000088020000}"/>
    <cellStyle name="_방동_마현12~1_수량_2.역T형옹벽(변경)" xfId="650" xr:uid="{00000000-0005-0000-0000-000089020000}"/>
    <cellStyle name="_방동_마현12~1_수량_깨기수량" xfId="651" xr:uid="{00000000-0005-0000-0000-00008A020000}"/>
    <cellStyle name="_방동_마현12~1_수량_깨기수량_1.역T형옹벽(변경)" xfId="652" xr:uid="{00000000-0005-0000-0000-00008B020000}"/>
    <cellStyle name="_방동_마현12~1_수량_깨기수량_2.역T형옹벽(변경)" xfId="653" xr:uid="{00000000-0005-0000-0000-00008C020000}"/>
    <cellStyle name="_방동_마현12~1_수량_호안공" xfId="654" xr:uid="{00000000-0005-0000-0000-00008D020000}"/>
    <cellStyle name="_방동_마현12~1_수량_호안공_1.역T형옹벽(변경)" xfId="655" xr:uid="{00000000-0005-0000-0000-00008E020000}"/>
    <cellStyle name="_방동_마현12~1_수량_호안공_2.역T형옹벽(변경)" xfId="656" xr:uid="{00000000-0005-0000-0000-00008F020000}"/>
    <cellStyle name="_방동_마현12~1_수량산출서" xfId="657" xr:uid="{00000000-0005-0000-0000-000090020000}"/>
    <cellStyle name="_방동_마현12~1_수량산출서_1.역T형옹벽(변경)" xfId="658" xr:uid="{00000000-0005-0000-0000-000091020000}"/>
    <cellStyle name="_방동_마현12~1_수량산출서_1공구수량" xfId="659" xr:uid="{00000000-0005-0000-0000-000092020000}"/>
    <cellStyle name="_방동_마현12~1_수량산출서_1공구수량_1.역T형옹벽(변경)" xfId="660" xr:uid="{00000000-0005-0000-0000-000093020000}"/>
    <cellStyle name="_방동_마현12~1_수량산출서_1공구수량_2.역T형옹벽(변경)" xfId="661" xr:uid="{00000000-0005-0000-0000-000094020000}"/>
    <cellStyle name="_방동_마현12~1_수량산출서_2.역T형옹벽(변경)" xfId="662" xr:uid="{00000000-0005-0000-0000-000095020000}"/>
    <cellStyle name="_방동_마현12~1_수량산출서_깨기수량" xfId="663" xr:uid="{00000000-0005-0000-0000-000096020000}"/>
    <cellStyle name="_방동_마현12~1_수량산출서_깨기수량_1.역T형옹벽(변경)" xfId="664" xr:uid="{00000000-0005-0000-0000-000097020000}"/>
    <cellStyle name="_방동_마현12~1_수량산출서_깨기수량_2.역T형옹벽(변경)" xfId="665" xr:uid="{00000000-0005-0000-0000-000098020000}"/>
    <cellStyle name="_방동_마현12~1_수량산출서_호안공" xfId="666" xr:uid="{00000000-0005-0000-0000-000099020000}"/>
    <cellStyle name="_방동_마현12~1_수량산출서_호안공_1.역T형옹벽(변경)" xfId="667" xr:uid="{00000000-0005-0000-0000-00009A020000}"/>
    <cellStyle name="_방동_마현12~1_수량산출서_호안공_2.역T형옹벽(변경)" xfId="668" xr:uid="{00000000-0005-0000-0000-00009B020000}"/>
    <cellStyle name="_방동_마현12~1_집계표" xfId="669" xr:uid="{00000000-0005-0000-0000-00009C020000}"/>
    <cellStyle name="_방동_마현12~1_집계표_1.역T형옹벽(변경)" xfId="670" xr:uid="{00000000-0005-0000-0000-00009D020000}"/>
    <cellStyle name="_방동_마현12~1_집계표_1공구수량" xfId="671" xr:uid="{00000000-0005-0000-0000-00009E020000}"/>
    <cellStyle name="_방동_마현12~1_집계표_1공구수량_1.역T형옹벽(변경)" xfId="672" xr:uid="{00000000-0005-0000-0000-00009F020000}"/>
    <cellStyle name="_방동_마현12~1_집계표_1공구수량_2.역T형옹벽(변경)" xfId="673" xr:uid="{00000000-0005-0000-0000-0000A0020000}"/>
    <cellStyle name="_방동_마현12~1_집계표_2.역T형옹벽(변경)" xfId="674" xr:uid="{00000000-0005-0000-0000-0000A1020000}"/>
    <cellStyle name="_방동_마현12~1_집계표_깨기수량" xfId="675" xr:uid="{00000000-0005-0000-0000-0000A2020000}"/>
    <cellStyle name="_방동_마현12~1_집계표_깨기수량_1.역T형옹벽(변경)" xfId="676" xr:uid="{00000000-0005-0000-0000-0000A3020000}"/>
    <cellStyle name="_방동_마현12~1_집계표_깨기수량_2.역T형옹벽(변경)" xfId="677" xr:uid="{00000000-0005-0000-0000-0000A4020000}"/>
    <cellStyle name="_방동_마현12~1_집계표_집계표" xfId="678" xr:uid="{00000000-0005-0000-0000-0000A5020000}"/>
    <cellStyle name="_방동_마현12~1_집계표_집계표_1.역T형옹벽(변경)" xfId="679" xr:uid="{00000000-0005-0000-0000-0000A6020000}"/>
    <cellStyle name="_방동_마현12~1_집계표_집계표_1공구수량" xfId="680" xr:uid="{00000000-0005-0000-0000-0000A7020000}"/>
    <cellStyle name="_방동_마현12~1_집계표_집계표_1공구수량_1.역T형옹벽(변경)" xfId="681" xr:uid="{00000000-0005-0000-0000-0000A8020000}"/>
    <cellStyle name="_방동_마현12~1_집계표_집계표_1공구수량_2.역T형옹벽(변경)" xfId="682" xr:uid="{00000000-0005-0000-0000-0000A9020000}"/>
    <cellStyle name="_방동_마현12~1_집계표_집계표_2.역T형옹벽(변경)" xfId="683" xr:uid="{00000000-0005-0000-0000-0000AA020000}"/>
    <cellStyle name="_방동_마현12~1_집계표_집계표_깨기수량" xfId="684" xr:uid="{00000000-0005-0000-0000-0000AB020000}"/>
    <cellStyle name="_방동_마현12~1_집계표_집계표_깨기수량_1.역T형옹벽(변경)" xfId="685" xr:uid="{00000000-0005-0000-0000-0000AC020000}"/>
    <cellStyle name="_방동_마현12~1_집계표_집계표_깨기수량_2.역T형옹벽(변경)" xfId="686" xr:uid="{00000000-0005-0000-0000-0000AD020000}"/>
    <cellStyle name="_방동_마현12~1_집계표_집계표_호안공" xfId="687" xr:uid="{00000000-0005-0000-0000-0000AE020000}"/>
    <cellStyle name="_방동_마현12~1_집계표_집계표_호안공_1.역T형옹벽(변경)" xfId="688" xr:uid="{00000000-0005-0000-0000-0000AF020000}"/>
    <cellStyle name="_방동_마현12~1_집계표_집계표_호안공_2.역T형옹벽(변경)" xfId="689" xr:uid="{00000000-0005-0000-0000-0000B0020000}"/>
    <cellStyle name="_방동_마현12~1_집계표_호안공" xfId="690" xr:uid="{00000000-0005-0000-0000-0000B1020000}"/>
    <cellStyle name="_방동_마현12~1_집계표_호안공_1.역T형옹벽(변경)" xfId="691" xr:uid="{00000000-0005-0000-0000-0000B2020000}"/>
    <cellStyle name="_방동_마현12~1_집계표_호안공_2.역T형옹벽(변경)" xfId="692" xr:uid="{00000000-0005-0000-0000-0000B3020000}"/>
    <cellStyle name="_방동_마현12~1_호안공" xfId="693" xr:uid="{00000000-0005-0000-0000-0000B4020000}"/>
    <cellStyle name="_방동_마현12~1_호안공_1.역T형옹벽(변경)" xfId="694" xr:uid="{00000000-0005-0000-0000-0000B5020000}"/>
    <cellStyle name="_방동_마현12~1_호안공_2.역T형옹벽(변경)" xfId="695" xr:uid="{00000000-0005-0000-0000-0000B6020000}"/>
    <cellStyle name="_방동_마현12~1_호안공_호안공" xfId="696" xr:uid="{00000000-0005-0000-0000-0000B7020000}"/>
    <cellStyle name="_방동_마현12~1_호안공_호안공_1.역T형옹벽(변경)" xfId="697" xr:uid="{00000000-0005-0000-0000-0000B8020000}"/>
    <cellStyle name="_방동_마현12~1_호안공_호안공_2.역T형옹벽(변경)" xfId="698" xr:uid="{00000000-0005-0000-0000-0000B9020000}"/>
    <cellStyle name="_방동_문혜3리" xfId="699" xr:uid="{00000000-0005-0000-0000-0000BA020000}"/>
    <cellStyle name="_방동_문혜3리_1.역T형옹벽(변경)" xfId="700" xr:uid="{00000000-0005-0000-0000-0000BB020000}"/>
    <cellStyle name="_방동_문혜3리_1공구수량" xfId="701" xr:uid="{00000000-0005-0000-0000-0000BC020000}"/>
    <cellStyle name="_방동_문혜3리_1공구수량_1.역T형옹벽(변경)" xfId="702" xr:uid="{00000000-0005-0000-0000-0000BD020000}"/>
    <cellStyle name="_방동_문혜3리_1공구수량_2.역T형옹벽(변경)" xfId="703" xr:uid="{00000000-0005-0000-0000-0000BE020000}"/>
    <cellStyle name="_방동_문혜3리_2.역T형옹벽(변경)" xfId="704" xr:uid="{00000000-0005-0000-0000-0000BF020000}"/>
    <cellStyle name="_방동_문혜3리_Book1" xfId="705" xr:uid="{00000000-0005-0000-0000-0000C0020000}"/>
    <cellStyle name="_방동_문혜3리_Book1_1.역T형옹벽(변경)" xfId="706" xr:uid="{00000000-0005-0000-0000-0000C1020000}"/>
    <cellStyle name="_방동_문혜3리_Book1_2.역T형옹벽(변경)" xfId="707" xr:uid="{00000000-0005-0000-0000-0000C2020000}"/>
    <cellStyle name="_방동_문혜3리_Book1_호안공" xfId="708" xr:uid="{00000000-0005-0000-0000-0000C3020000}"/>
    <cellStyle name="_방동_문혜3리_Book1_호안공_1.역T형옹벽(변경)" xfId="709" xr:uid="{00000000-0005-0000-0000-0000C4020000}"/>
    <cellStyle name="_방동_문혜3리_Book1_호안공_2.역T형옹벽(변경)" xfId="710" xr:uid="{00000000-0005-0000-0000-0000C5020000}"/>
    <cellStyle name="_방동_문혜3리_Book2" xfId="711" xr:uid="{00000000-0005-0000-0000-0000C6020000}"/>
    <cellStyle name="_방동_문혜3리_Book2_1.역T형옹벽(변경)" xfId="712" xr:uid="{00000000-0005-0000-0000-0000C7020000}"/>
    <cellStyle name="_방동_문혜3리_Book2_1공구수량" xfId="713" xr:uid="{00000000-0005-0000-0000-0000C8020000}"/>
    <cellStyle name="_방동_문혜3리_Book2_1공구수량_1.역T형옹벽(변경)" xfId="714" xr:uid="{00000000-0005-0000-0000-0000C9020000}"/>
    <cellStyle name="_방동_문혜3리_Book2_1공구수량_2.역T형옹벽(변경)" xfId="715" xr:uid="{00000000-0005-0000-0000-0000CA020000}"/>
    <cellStyle name="_방동_문혜3리_Book2_2.역T형옹벽(변경)" xfId="716" xr:uid="{00000000-0005-0000-0000-0000CB020000}"/>
    <cellStyle name="_방동_문혜3리_Book2_깨기수량" xfId="717" xr:uid="{00000000-0005-0000-0000-0000CC020000}"/>
    <cellStyle name="_방동_문혜3리_Book2_깨기수량_1.역T형옹벽(변경)" xfId="718" xr:uid="{00000000-0005-0000-0000-0000CD020000}"/>
    <cellStyle name="_방동_문혜3리_Book2_깨기수량_2.역T형옹벽(변경)" xfId="719" xr:uid="{00000000-0005-0000-0000-0000CE020000}"/>
    <cellStyle name="_방동_문혜3리_Book2_집계표" xfId="720" xr:uid="{00000000-0005-0000-0000-0000CF020000}"/>
    <cellStyle name="_방동_문혜3리_Book2_집계표_1.역T형옹벽(변경)" xfId="721" xr:uid="{00000000-0005-0000-0000-0000D0020000}"/>
    <cellStyle name="_방동_문혜3리_Book2_집계표_1공구수량" xfId="722" xr:uid="{00000000-0005-0000-0000-0000D1020000}"/>
    <cellStyle name="_방동_문혜3리_Book2_집계표_1공구수량_1.역T형옹벽(변경)" xfId="723" xr:uid="{00000000-0005-0000-0000-0000D2020000}"/>
    <cellStyle name="_방동_문혜3리_Book2_집계표_1공구수량_2.역T형옹벽(변경)" xfId="724" xr:uid="{00000000-0005-0000-0000-0000D3020000}"/>
    <cellStyle name="_방동_문혜3리_Book2_집계표_2.역T형옹벽(변경)" xfId="725" xr:uid="{00000000-0005-0000-0000-0000D4020000}"/>
    <cellStyle name="_방동_문혜3리_Book2_집계표_깨기수량" xfId="726" xr:uid="{00000000-0005-0000-0000-0000D5020000}"/>
    <cellStyle name="_방동_문혜3리_Book2_집계표_깨기수량_1.역T형옹벽(변경)" xfId="727" xr:uid="{00000000-0005-0000-0000-0000D6020000}"/>
    <cellStyle name="_방동_문혜3리_Book2_집계표_깨기수량_2.역T형옹벽(변경)" xfId="728" xr:uid="{00000000-0005-0000-0000-0000D7020000}"/>
    <cellStyle name="_방동_문혜3리_Book2_집계표_호안공" xfId="729" xr:uid="{00000000-0005-0000-0000-0000D8020000}"/>
    <cellStyle name="_방동_문혜3리_Book2_집계표_호안공_1.역T형옹벽(변경)" xfId="730" xr:uid="{00000000-0005-0000-0000-0000D9020000}"/>
    <cellStyle name="_방동_문혜3리_Book2_집계표_호안공_2.역T형옹벽(변경)" xfId="731" xr:uid="{00000000-0005-0000-0000-0000DA020000}"/>
    <cellStyle name="_방동_문혜3리_Book2_호안공" xfId="732" xr:uid="{00000000-0005-0000-0000-0000DB020000}"/>
    <cellStyle name="_방동_문혜3리_Book2_호안공_1.역T형옹벽(변경)" xfId="733" xr:uid="{00000000-0005-0000-0000-0000DC020000}"/>
    <cellStyle name="_방동_문혜3리_Book2_호안공_2.역T형옹벽(변경)" xfId="734" xr:uid="{00000000-0005-0000-0000-0000DD020000}"/>
    <cellStyle name="_방동_문혜3리_갈전리2공구수량" xfId="735" xr:uid="{00000000-0005-0000-0000-0000DE020000}"/>
    <cellStyle name="_방동_문혜3리_갈전리2공구수량_1.역T형옹벽(변경)" xfId="736" xr:uid="{00000000-0005-0000-0000-0000DF020000}"/>
    <cellStyle name="_방동_문혜3리_갈전리2공구수량_1공구수량" xfId="737" xr:uid="{00000000-0005-0000-0000-0000E0020000}"/>
    <cellStyle name="_방동_문혜3리_갈전리2공구수량_1공구수량_1.역T형옹벽(변경)" xfId="738" xr:uid="{00000000-0005-0000-0000-0000E1020000}"/>
    <cellStyle name="_방동_문혜3리_갈전리2공구수량_1공구수량_2.역T형옹벽(변경)" xfId="739" xr:uid="{00000000-0005-0000-0000-0000E2020000}"/>
    <cellStyle name="_방동_문혜3리_갈전리2공구수량_2.역T형옹벽(변경)" xfId="740" xr:uid="{00000000-0005-0000-0000-0000E3020000}"/>
    <cellStyle name="_방동_문혜3리_갈전리2공구수량_깨기수량" xfId="741" xr:uid="{00000000-0005-0000-0000-0000E4020000}"/>
    <cellStyle name="_방동_문혜3리_갈전리2공구수량_깨기수량_1.역T형옹벽(변경)" xfId="742" xr:uid="{00000000-0005-0000-0000-0000E5020000}"/>
    <cellStyle name="_방동_문혜3리_갈전리2공구수량_깨기수량_2.역T형옹벽(변경)" xfId="743" xr:uid="{00000000-0005-0000-0000-0000E6020000}"/>
    <cellStyle name="_방동_문혜3리_갈전리2공구수량_호안공" xfId="744" xr:uid="{00000000-0005-0000-0000-0000E7020000}"/>
    <cellStyle name="_방동_문혜3리_갈전리2공구수량_호안공_1.역T형옹벽(변경)" xfId="745" xr:uid="{00000000-0005-0000-0000-0000E8020000}"/>
    <cellStyle name="_방동_문혜3리_갈전리2공구수량_호안공_2.역T형옹벽(변경)" xfId="746" xr:uid="{00000000-0005-0000-0000-0000E9020000}"/>
    <cellStyle name="_방동_문혜3리_깨기" xfId="747" xr:uid="{00000000-0005-0000-0000-0000EA020000}"/>
    <cellStyle name="_방동_문혜3리_깨기_1.역T형옹벽(변경)" xfId="748" xr:uid="{00000000-0005-0000-0000-0000EB020000}"/>
    <cellStyle name="_방동_문혜3리_깨기_1공구수량" xfId="749" xr:uid="{00000000-0005-0000-0000-0000EC020000}"/>
    <cellStyle name="_방동_문혜3리_깨기_1공구수량_1.역T형옹벽(변경)" xfId="750" xr:uid="{00000000-0005-0000-0000-0000ED020000}"/>
    <cellStyle name="_방동_문혜3리_깨기_1공구수량_2.역T형옹벽(변경)" xfId="751" xr:uid="{00000000-0005-0000-0000-0000EE020000}"/>
    <cellStyle name="_방동_문혜3리_깨기_2.역T형옹벽(변경)" xfId="752" xr:uid="{00000000-0005-0000-0000-0000EF020000}"/>
    <cellStyle name="_방동_문혜3리_깨기_깨기수량" xfId="753" xr:uid="{00000000-0005-0000-0000-0000F0020000}"/>
    <cellStyle name="_방동_문혜3리_깨기_깨기수량_1.역T형옹벽(변경)" xfId="754" xr:uid="{00000000-0005-0000-0000-0000F1020000}"/>
    <cellStyle name="_방동_문혜3리_깨기_깨기수량_2.역T형옹벽(변경)" xfId="755" xr:uid="{00000000-0005-0000-0000-0000F2020000}"/>
    <cellStyle name="_방동_문혜3리_깨기_호안공" xfId="756" xr:uid="{00000000-0005-0000-0000-0000F3020000}"/>
    <cellStyle name="_방동_문혜3리_깨기_호안공_1.역T형옹벽(변경)" xfId="757" xr:uid="{00000000-0005-0000-0000-0000F4020000}"/>
    <cellStyle name="_방동_문혜3리_깨기_호안공_2.역T형옹벽(변경)" xfId="758" xr:uid="{00000000-0005-0000-0000-0000F5020000}"/>
    <cellStyle name="_방동_문혜3리_깨기수량" xfId="759" xr:uid="{00000000-0005-0000-0000-0000F6020000}"/>
    <cellStyle name="_방동_문혜3리_깨기수량_1.역T형옹벽(변경)" xfId="760" xr:uid="{00000000-0005-0000-0000-0000F7020000}"/>
    <cellStyle name="_방동_문혜3리_깨기수량_2.역T형옹벽(변경)" xfId="761" xr:uid="{00000000-0005-0000-0000-0000F8020000}"/>
    <cellStyle name="_방동_문혜3리_수량" xfId="762" xr:uid="{00000000-0005-0000-0000-0000F9020000}"/>
    <cellStyle name="_방동_문혜3리_수량(말미골천)" xfId="763" xr:uid="{00000000-0005-0000-0000-0000FA020000}"/>
    <cellStyle name="_방동_문혜3리_수량(말미골천)_1.역T형옹벽(변경)" xfId="764" xr:uid="{00000000-0005-0000-0000-0000FB020000}"/>
    <cellStyle name="_방동_문혜3리_수량(말미골천)_1공구수량" xfId="765" xr:uid="{00000000-0005-0000-0000-0000FC020000}"/>
    <cellStyle name="_방동_문혜3리_수량(말미골천)_1공구수량_1.역T형옹벽(변경)" xfId="766" xr:uid="{00000000-0005-0000-0000-0000FD020000}"/>
    <cellStyle name="_방동_문혜3리_수량(말미골천)_1공구수량_2.역T형옹벽(변경)" xfId="767" xr:uid="{00000000-0005-0000-0000-0000FE020000}"/>
    <cellStyle name="_방동_문혜3리_수량(말미골천)_2.역T형옹벽(변경)" xfId="768" xr:uid="{00000000-0005-0000-0000-0000FF020000}"/>
    <cellStyle name="_방동_문혜3리_수량(말미골천)_깨기수량" xfId="769" xr:uid="{00000000-0005-0000-0000-000000030000}"/>
    <cellStyle name="_방동_문혜3리_수량(말미골천)_깨기수량_1.역T형옹벽(변경)" xfId="770" xr:uid="{00000000-0005-0000-0000-000001030000}"/>
    <cellStyle name="_방동_문혜3리_수량(말미골천)_깨기수량_2.역T형옹벽(변경)" xfId="771" xr:uid="{00000000-0005-0000-0000-000002030000}"/>
    <cellStyle name="_방동_문혜3리_수량(말미골천)_호안공" xfId="772" xr:uid="{00000000-0005-0000-0000-000003030000}"/>
    <cellStyle name="_방동_문혜3리_수량(말미골천)_호안공_1.역T형옹벽(변경)" xfId="773" xr:uid="{00000000-0005-0000-0000-000004030000}"/>
    <cellStyle name="_방동_문혜3리_수량(말미골천)_호안공_2.역T형옹벽(변경)" xfId="774" xr:uid="{00000000-0005-0000-0000-000005030000}"/>
    <cellStyle name="_방동_문혜3리_수량_1.역T형옹벽(변경)" xfId="775" xr:uid="{00000000-0005-0000-0000-000006030000}"/>
    <cellStyle name="_방동_문혜3리_수량_1공구수량" xfId="776" xr:uid="{00000000-0005-0000-0000-000007030000}"/>
    <cellStyle name="_방동_문혜3리_수량_1공구수량_1.역T형옹벽(변경)" xfId="777" xr:uid="{00000000-0005-0000-0000-000008030000}"/>
    <cellStyle name="_방동_문혜3리_수량_1공구수량_2.역T형옹벽(변경)" xfId="778" xr:uid="{00000000-0005-0000-0000-000009030000}"/>
    <cellStyle name="_방동_문혜3리_수량_2.역T형옹벽(변경)" xfId="779" xr:uid="{00000000-0005-0000-0000-00000A030000}"/>
    <cellStyle name="_방동_문혜3리_수량_깨기수량" xfId="780" xr:uid="{00000000-0005-0000-0000-00000B030000}"/>
    <cellStyle name="_방동_문혜3리_수량_깨기수량_1.역T형옹벽(변경)" xfId="781" xr:uid="{00000000-0005-0000-0000-00000C030000}"/>
    <cellStyle name="_방동_문혜3리_수량_깨기수량_2.역T형옹벽(변경)" xfId="782" xr:uid="{00000000-0005-0000-0000-00000D030000}"/>
    <cellStyle name="_방동_문혜3리_수량_호안공" xfId="783" xr:uid="{00000000-0005-0000-0000-00000E030000}"/>
    <cellStyle name="_방동_문혜3리_수량_호안공_1.역T형옹벽(변경)" xfId="784" xr:uid="{00000000-0005-0000-0000-00000F030000}"/>
    <cellStyle name="_방동_문혜3리_수량_호안공_2.역T형옹벽(변경)" xfId="785" xr:uid="{00000000-0005-0000-0000-000010030000}"/>
    <cellStyle name="_방동_문혜3리_수량산출서" xfId="786" xr:uid="{00000000-0005-0000-0000-000011030000}"/>
    <cellStyle name="_방동_문혜3리_수량산출서_1.역T형옹벽(변경)" xfId="787" xr:uid="{00000000-0005-0000-0000-000012030000}"/>
    <cellStyle name="_방동_문혜3리_수량산출서_1공구수량" xfId="788" xr:uid="{00000000-0005-0000-0000-000013030000}"/>
    <cellStyle name="_방동_문혜3리_수량산출서_1공구수량_1.역T형옹벽(변경)" xfId="789" xr:uid="{00000000-0005-0000-0000-000014030000}"/>
    <cellStyle name="_방동_문혜3리_수량산출서_1공구수량_2.역T형옹벽(변경)" xfId="790" xr:uid="{00000000-0005-0000-0000-000015030000}"/>
    <cellStyle name="_방동_문혜3리_수량산출서_2.역T형옹벽(변경)" xfId="791" xr:uid="{00000000-0005-0000-0000-000016030000}"/>
    <cellStyle name="_방동_문혜3리_수량산출서_깨기수량" xfId="792" xr:uid="{00000000-0005-0000-0000-000017030000}"/>
    <cellStyle name="_방동_문혜3리_수량산출서_깨기수량_1.역T형옹벽(변경)" xfId="793" xr:uid="{00000000-0005-0000-0000-000018030000}"/>
    <cellStyle name="_방동_문혜3리_수량산출서_깨기수량_2.역T형옹벽(변경)" xfId="794" xr:uid="{00000000-0005-0000-0000-000019030000}"/>
    <cellStyle name="_방동_문혜3리_수량산출서_호안공" xfId="795" xr:uid="{00000000-0005-0000-0000-00001A030000}"/>
    <cellStyle name="_방동_문혜3리_수량산출서_호안공_1.역T형옹벽(변경)" xfId="796" xr:uid="{00000000-0005-0000-0000-00001B030000}"/>
    <cellStyle name="_방동_문혜3리_수량산출서_호안공_2.역T형옹벽(변경)" xfId="797" xr:uid="{00000000-0005-0000-0000-00001C030000}"/>
    <cellStyle name="_방동_문혜3리_집계표" xfId="798" xr:uid="{00000000-0005-0000-0000-00001D030000}"/>
    <cellStyle name="_방동_문혜3리_집계표_1.역T형옹벽(변경)" xfId="799" xr:uid="{00000000-0005-0000-0000-00001E030000}"/>
    <cellStyle name="_방동_문혜3리_집계표_1공구수량" xfId="800" xr:uid="{00000000-0005-0000-0000-00001F030000}"/>
    <cellStyle name="_방동_문혜3리_집계표_1공구수량_1.역T형옹벽(변경)" xfId="801" xr:uid="{00000000-0005-0000-0000-000020030000}"/>
    <cellStyle name="_방동_문혜3리_집계표_1공구수량_2.역T형옹벽(변경)" xfId="802" xr:uid="{00000000-0005-0000-0000-000021030000}"/>
    <cellStyle name="_방동_문혜3리_집계표_2.역T형옹벽(변경)" xfId="803" xr:uid="{00000000-0005-0000-0000-000022030000}"/>
    <cellStyle name="_방동_문혜3리_집계표_깨기수량" xfId="804" xr:uid="{00000000-0005-0000-0000-000023030000}"/>
    <cellStyle name="_방동_문혜3리_집계표_깨기수량_1.역T형옹벽(변경)" xfId="805" xr:uid="{00000000-0005-0000-0000-000024030000}"/>
    <cellStyle name="_방동_문혜3리_집계표_깨기수량_2.역T형옹벽(변경)" xfId="806" xr:uid="{00000000-0005-0000-0000-000025030000}"/>
    <cellStyle name="_방동_문혜3리_집계표_집계표" xfId="807" xr:uid="{00000000-0005-0000-0000-000026030000}"/>
    <cellStyle name="_방동_문혜3리_집계표_집계표_1.역T형옹벽(변경)" xfId="808" xr:uid="{00000000-0005-0000-0000-000027030000}"/>
    <cellStyle name="_방동_문혜3리_집계표_집계표_1공구수량" xfId="809" xr:uid="{00000000-0005-0000-0000-000028030000}"/>
    <cellStyle name="_방동_문혜3리_집계표_집계표_1공구수량_1.역T형옹벽(변경)" xfId="810" xr:uid="{00000000-0005-0000-0000-000029030000}"/>
    <cellStyle name="_방동_문혜3리_집계표_집계표_1공구수량_2.역T형옹벽(변경)" xfId="811" xr:uid="{00000000-0005-0000-0000-00002A030000}"/>
    <cellStyle name="_방동_문혜3리_집계표_집계표_2.역T형옹벽(변경)" xfId="812" xr:uid="{00000000-0005-0000-0000-00002B030000}"/>
    <cellStyle name="_방동_문혜3리_집계표_집계표_깨기수량" xfId="813" xr:uid="{00000000-0005-0000-0000-00002C030000}"/>
    <cellStyle name="_방동_문혜3리_집계표_집계표_깨기수량_1.역T형옹벽(변경)" xfId="814" xr:uid="{00000000-0005-0000-0000-00002D030000}"/>
    <cellStyle name="_방동_문혜3리_집계표_집계표_깨기수량_2.역T형옹벽(변경)" xfId="815" xr:uid="{00000000-0005-0000-0000-00002E030000}"/>
    <cellStyle name="_방동_문혜3리_집계표_집계표_호안공" xfId="816" xr:uid="{00000000-0005-0000-0000-00002F030000}"/>
    <cellStyle name="_방동_문혜3리_집계표_집계표_호안공_1.역T형옹벽(변경)" xfId="817" xr:uid="{00000000-0005-0000-0000-000030030000}"/>
    <cellStyle name="_방동_문혜3리_집계표_집계표_호안공_2.역T형옹벽(변경)" xfId="818" xr:uid="{00000000-0005-0000-0000-000031030000}"/>
    <cellStyle name="_방동_문혜3리_집계표_호안공" xfId="819" xr:uid="{00000000-0005-0000-0000-000032030000}"/>
    <cellStyle name="_방동_문혜3리_집계표_호안공_1.역T형옹벽(변경)" xfId="820" xr:uid="{00000000-0005-0000-0000-000033030000}"/>
    <cellStyle name="_방동_문혜3리_집계표_호안공_2.역T형옹벽(변경)" xfId="821" xr:uid="{00000000-0005-0000-0000-000034030000}"/>
    <cellStyle name="_방동_문혜3리_호안공" xfId="822" xr:uid="{00000000-0005-0000-0000-000035030000}"/>
    <cellStyle name="_방동_문혜3리_호안공_1.역T형옹벽(변경)" xfId="823" xr:uid="{00000000-0005-0000-0000-000036030000}"/>
    <cellStyle name="_방동_문혜3리_호안공_2.역T형옹벽(변경)" xfId="824" xr:uid="{00000000-0005-0000-0000-000037030000}"/>
    <cellStyle name="_방동_문혜3리_호안공_호안공" xfId="825" xr:uid="{00000000-0005-0000-0000-000038030000}"/>
    <cellStyle name="_방동_문혜3리_호안공_호안공_1.역T형옹벽(변경)" xfId="826" xr:uid="{00000000-0005-0000-0000-000039030000}"/>
    <cellStyle name="_방동_문혜3리_호안공_호안공_2.역T형옹벽(변경)" xfId="827" xr:uid="{00000000-0005-0000-0000-00003A030000}"/>
    <cellStyle name="_방동_방동" xfId="828" xr:uid="{00000000-0005-0000-0000-00003B030000}"/>
    <cellStyle name="_방동_방동_1.역T형옹벽(변경)" xfId="829" xr:uid="{00000000-0005-0000-0000-00003C030000}"/>
    <cellStyle name="_방동_방동_1공구수량" xfId="830" xr:uid="{00000000-0005-0000-0000-00003D030000}"/>
    <cellStyle name="_방동_방동_1공구수량_1.역T형옹벽(변경)" xfId="831" xr:uid="{00000000-0005-0000-0000-00003E030000}"/>
    <cellStyle name="_방동_방동_1공구수량_2.역T형옹벽(변경)" xfId="832" xr:uid="{00000000-0005-0000-0000-00003F030000}"/>
    <cellStyle name="_방동_방동_2.역T형옹벽(변경)" xfId="833" xr:uid="{00000000-0005-0000-0000-000040030000}"/>
    <cellStyle name="_방동_방동_Book1" xfId="834" xr:uid="{00000000-0005-0000-0000-000041030000}"/>
    <cellStyle name="_방동_방동_Book1_1.역T형옹벽(변경)" xfId="835" xr:uid="{00000000-0005-0000-0000-000042030000}"/>
    <cellStyle name="_방동_방동_Book1_2.역T형옹벽(변경)" xfId="836" xr:uid="{00000000-0005-0000-0000-000043030000}"/>
    <cellStyle name="_방동_방동_Book1_호안공" xfId="837" xr:uid="{00000000-0005-0000-0000-000044030000}"/>
    <cellStyle name="_방동_방동_Book1_호안공_1.역T형옹벽(변경)" xfId="838" xr:uid="{00000000-0005-0000-0000-000045030000}"/>
    <cellStyle name="_방동_방동_Book1_호안공_2.역T형옹벽(변경)" xfId="839" xr:uid="{00000000-0005-0000-0000-000046030000}"/>
    <cellStyle name="_방동_방동_Book2" xfId="840" xr:uid="{00000000-0005-0000-0000-000047030000}"/>
    <cellStyle name="_방동_방동_Book2_1.역T형옹벽(변경)" xfId="841" xr:uid="{00000000-0005-0000-0000-000048030000}"/>
    <cellStyle name="_방동_방동_Book2_1공구수량" xfId="842" xr:uid="{00000000-0005-0000-0000-000049030000}"/>
    <cellStyle name="_방동_방동_Book2_1공구수량_1.역T형옹벽(변경)" xfId="843" xr:uid="{00000000-0005-0000-0000-00004A030000}"/>
    <cellStyle name="_방동_방동_Book2_1공구수량_2.역T형옹벽(변경)" xfId="844" xr:uid="{00000000-0005-0000-0000-00004B030000}"/>
    <cellStyle name="_방동_방동_Book2_2.역T형옹벽(변경)" xfId="845" xr:uid="{00000000-0005-0000-0000-00004C030000}"/>
    <cellStyle name="_방동_방동_Book2_깨기수량" xfId="846" xr:uid="{00000000-0005-0000-0000-00004D030000}"/>
    <cellStyle name="_방동_방동_Book2_깨기수량_1.역T형옹벽(변경)" xfId="847" xr:uid="{00000000-0005-0000-0000-00004E030000}"/>
    <cellStyle name="_방동_방동_Book2_깨기수량_2.역T형옹벽(변경)" xfId="848" xr:uid="{00000000-0005-0000-0000-00004F030000}"/>
    <cellStyle name="_방동_방동_Book2_집계표" xfId="849" xr:uid="{00000000-0005-0000-0000-000050030000}"/>
    <cellStyle name="_방동_방동_Book2_집계표_1.역T형옹벽(변경)" xfId="850" xr:uid="{00000000-0005-0000-0000-000051030000}"/>
    <cellStyle name="_방동_방동_Book2_집계표_1공구수량" xfId="851" xr:uid="{00000000-0005-0000-0000-000052030000}"/>
    <cellStyle name="_방동_방동_Book2_집계표_1공구수량_1.역T형옹벽(변경)" xfId="852" xr:uid="{00000000-0005-0000-0000-000053030000}"/>
    <cellStyle name="_방동_방동_Book2_집계표_1공구수량_2.역T형옹벽(변경)" xfId="853" xr:uid="{00000000-0005-0000-0000-000054030000}"/>
    <cellStyle name="_방동_방동_Book2_집계표_2.역T형옹벽(변경)" xfId="854" xr:uid="{00000000-0005-0000-0000-000055030000}"/>
    <cellStyle name="_방동_방동_Book2_집계표_깨기수량" xfId="855" xr:uid="{00000000-0005-0000-0000-000056030000}"/>
    <cellStyle name="_방동_방동_Book2_집계표_깨기수량_1.역T형옹벽(변경)" xfId="856" xr:uid="{00000000-0005-0000-0000-000057030000}"/>
    <cellStyle name="_방동_방동_Book2_집계표_깨기수량_2.역T형옹벽(변경)" xfId="857" xr:uid="{00000000-0005-0000-0000-000058030000}"/>
    <cellStyle name="_방동_방동_Book2_집계표_호안공" xfId="858" xr:uid="{00000000-0005-0000-0000-000059030000}"/>
    <cellStyle name="_방동_방동_Book2_집계표_호안공_1.역T형옹벽(변경)" xfId="859" xr:uid="{00000000-0005-0000-0000-00005A030000}"/>
    <cellStyle name="_방동_방동_Book2_집계표_호안공_2.역T형옹벽(변경)" xfId="860" xr:uid="{00000000-0005-0000-0000-00005B030000}"/>
    <cellStyle name="_방동_방동_Book2_호안공" xfId="861" xr:uid="{00000000-0005-0000-0000-00005C030000}"/>
    <cellStyle name="_방동_방동_Book2_호안공_1.역T형옹벽(변경)" xfId="862" xr:uid="{00000000-0005-0000-0000-00005D030000}"/>
    <cellStyle name="_방동_방동_Book2_호안공_2.역T형옹벽(변경)" xfId="863" xr:uid="{00000000-0005-0000-0000-00005E030000}"/>
    <cellStyle name="_방동_방동_갈전리2공구수량" xfId="864" xr:uid="{00000000-0005-0000-0000-00005F030000}"/>
    <cellStyle name="_방동_방동_갈전리2공구수량_1.역T형옹벽(변경)" xfId="865" xr:uid="{00000000-0005-0000-0000-000060030000}"/>
    <cellStyle name="_방동_방동_갈전리2공구수량_1공구수량" xfId="866" xr:uid="{00000000-0005-0000-0000-000061030000}"/>
    <cellStyle name="_방동_방동_갈전리2공구수량_1공구수량_1.역T형옹벽(변경)" xfId="867" xr:uid="{00000000-0005-0000-0000-000062030000}"/>
    <cellStyle name="_방동_방동_갈전리2공구수량_1공구수량_2.역T형옹벽(변경)" xfId="868" xr:uid="{00000000-0005-0000-0000-000063030000}"/>
    <cellStyle name="_방동_방동_갈전리2공구수량_2.역T형옹벽(변경)" xfId="869" xr:uid="{00000000-0005-0000-0000-000064030000}"/>
    <cellStyle name="_방동_방동_갈전리2공구수량_깨기수량" xfId="870" xr:uid="{00000000-0005-0000-0000-000065030000}"/>
    <cellStyle name="_방동_방동_갈전리2공구수량_깨기수량_1.역T형옹벽(변경)" xfId="871" xr:uid="{00000000-0005-0000-0000-000066030000}"/>
    <cellStyle name="_방동_방동_갈전리2공구수량_깨기수량_2.역T형옹벽(변경)" xfId="872" xr:uid="{00000000-0005-0000-0000-000067030000}"/>
    <cellStyle name="_방동_방동_갈전리2공구수량_호안공" xfId="873" xr:uid="{00000000-0005-0000-0000-000068030000}"/>
    <cellStyle name="_방동_방동_갈전리2공구수량_호안공_1.역T형옹벽(변경)" xfId="874" xr:uid="{00000000-0005-0000-0000-000069030000}"/>
    <cellStyle name="_방동_방동_갈전리2공구수량_호안공_2.역T형옹벽(변경)" xfId="875" xr:uid="{00000000-0005-0000-0000-00006A030000}"/>
    <cellStyle name="_방동_방동_깨기" xfId="876" xr:uid="{00000000-0005-0000-0000-00006B030000}"/>
    <cellStyle name="_방동_방동_깨기_1.역T형옹벽(변경)" xfId="877" xr:uid="{00000000-0005-0000-0000-00006C030000}"/>
    <cellStyle name="_방동_방동_깨기_1공구수량" xfId="878" xr:uid="{00000000-0005-0000-0000-00006D030000}"/>
    <cellStyle name="_방동_방동_깨기_1공구수량_1.역T형옹벽(변경)" xfId="879" xr:uid="{00000000-0005-0000-0000-00006E030000}"/>
    <cellStyle name="_방동_방동_깨기_1공구수량_2.역T형옹벽(변경)" xfId="880" xr:uid="{00000000-0005-0000-0000-00006F030000}"/>
    <cellStyle name="_방동_방동_깨기_2.역T형옹벽(변경)" xfId="881" xr:uid="{00000000-0005-0000-0000-000070030000}"/>
    <cellStyle name="_방동_방동_깨기_깨기수량" xfId="882" xr:uid="{00000000-0005-0000-0000-000071030000}"/>
    <cellStyle name="_방동_방동_깨기_깨기수량_1.역T형옹벽(변경)" xfId="883" xr:uid="{00000000-0005-0000-0000-000072030000}"/>
    <cellStyle name="_방동_방동_깨기_깨기수량_2.역T형옹벽(변경)" xfId="884" xr:uid="{00000000-0005-0000-0000-000073030000}"/>
    <cellStyle name="_방동_방동_깨기_호안공" xfId="885" xr:uid="{00000000-0005-0000-0000-000074030000}"/>
    <cellStyle name="_방동_방동_깨기_호안공_1.역T형옹벽(변경)" xfId="886" xr:uid="{00000000-0005-0000-0000-000075030000}"/>
    <cellStyle name="_방동_방동_깨기_호안공_2.역T형옹벽(변경)" xfId="887" xr:uid="{00000000-0005-0000-0000-000076030000}"/>
    <cellStyle name="_방동_방동_깨기수량" xfId="888" xr:uid="{00000000-0005-0000-0000-000077030000}"/>
    <cellStyle name="_방동_방동_깨기수량_1.역T형옹벽(변경)" xfId="889" xr:uid="{00000000-0005-0000-0000-000078030000}"/>
    <cellStyle name="_방동_방동_깨기수량_2.역T형옹벽(변경)" xfId="890" xr:uid="{00000000-0005-0000-0000-000079030000}"/>
    <cellStyle name="_방동_방동_수량" xfId="891" xr:uid="{00000000-0005-0000-0000-00007A030000}"/>
    <cellStyle name="_방동_방동_수량(말미골천)" xfId="892" xr:uid="{00000000-0005-0000-0000-00007B030000}"/>
    <cellStyle name="_방동_방동_수량(말미골천)_1.역T형옹벽(변경)" xfId="893" xr:uid="{00000000-0005-0000-0000-00007C030000}"/>
    <cellStyle name="_방동_방동_수량(말미골천)_1공구수량" xfId="894" xr:uid="{00000000-0005-0000-0000-00007D030000}"/>
    <cellStyle name="_방동_방동_수량(말미골천)_1공구수량_1.역T형옹벽(변경)" xfId="895" xr:uid="{00000000-0005-0000-0000-00007E030000}"/>
    <cellStyle name="_방동_방동_수량(말미골천)_1공구수량_2.역T형옹벽(변경)" xfId="896" xr:uid="{00000000-0005-0000-0000-00007F030000}"/>
    <cellStyle name="_방동_방동_수량(말미골천)_2.역T형옹벽(변경)" xfId="897" xr:uid="{00000000-0005-0000-0000-000080030000}"/>
    <cellStyle name="_방동_방동_수량(말미골천)_깨기수량" xfId="898" xr:uid="{00000000-0005-0000-0000-000081030000}"/>
    <cellStyle name="_방동_방동_수량(말미골천)_깨기수량_1.역T형옹벽(변경)" xfId="899" xr:uid="{00000000-0005-0000-0000-000082030000}"/>
    <cellStyle name="_방동_방동_수량(말미골천)_깨기수량_2.역T형옹벽(변경)" xfId="900" xr:uid="{00000000-0005-0000-0000-000083030000}"/>
    <cellStyle name="_방동_방동_수량(말미골천)_호안공" xfId="901" xr:uid="{00000000-0005-0000-0000-000084030000}"/>
    <cellStyle name="_방동_방동_수량(말미골천)_호안공_1.역T형옹벽(변경)" xfId="902" xr:uid="{00000000-0005-0000-0000-000085030000}"/>
    <cellStyle name="_방동_방동_수량(말미골천)_호안공_2.역T형옹벽(변경)" xfId="903" xr:uid="{00000000-0005-0000-0000-000086030000}"/>
    <cellStyle name="_방동_방동_수량_1.역T형옹벽(변경)" xfId="904" xr:uid="{00000000-0005-0000-0000-000087030000}"/>
    <cellStyle name="_방동_방동_수량_1공구수량" xfId="905" xr:uid="{00000000-0005-0000-0000-000088030000}"/>
    <cellStyle name="_방동_방동_수량_1공구수량_1.역T형옹벽(변경)" xfId="906" xr:uid="{00000000-0005-0000-0000-000089030000}"/>
    <cellStyle name="_방동_방동_수량_1공구수량_2.역T형옹벽(변경)" xfId="907" xr:uid="{00000000-0005-0000-0000-00008A030000}"/>
    <cellStyle name="_방동_방동_수량_2.역T형옹벽(변경)" xfId="908" xr:uid="{00000000-0005-0000-0000-00008B030000}"/>
    <cellStyle name="_방동_방동_수량_깨기수량" xfId="909" xr:uid="{00000000-0005-0000-0000-00008C030000}"/>
    <cellStyle name="_방동_방동_수량_깨기수량_1.역T형옹벽(변경)" xfId="910" xr:uid="{00000000-0005-0000-0000-00008D030000}"/>
    <cellStyle name="_방동_방동_수량_깨기수량_2.역T형옹벽(변경)" xfId="911" xr:uid="{00000000-0005-0000-0000-00008E030000}"/>
    <cellStyle name="_방동_방동_수량_호안공" xfId="912" xr:uid="{00000000-0005-0000-0000-00008F030000}"/>
    <cellStyle name="_방동_방동_수량_호안공_1.역T형옹벽(변경)" xfId="913" xr:uid="{00000000-0005-0000-0000-000090030000}"/>
    <cellStyle name="_방동_방동_수량_호안공_2.역T형옹벽(변경)" xfId="914" xr:uid="{00000000-0005-0000-0000-000091030000}"/>
    <cellStyle name="_방동_방동_수량산출서" xfId="915" xr:uid="{00000000-0005-0000-0000-000092030000}"/>
    <cellStyle name="_방동_방동_수량산출서_1.역T형옹벽(변경)" xfId="916" xr:uid="{00000000-0005-0000-0000-000093030000}"/>
    <cellStyle name="_방동_방동_수량산출서_1공구수량" xfId="917" xr:uid="{00000000-0005-0000-0000-000094030000}"/>
    <cellStyle name="_방동_방동_수량산출서_1공구수량_1.역T형옹벽(변경)" xfId="918" xr:uid="{00000000-0005-0000-0000-000095030000}"/>
    <cellStyle name="_방동_방동_수량산출서_1공구수량_2.역T형옹벽(변경)" xfId="919" xr:uid="{00000000-0005-0000-0000-000096030000}"/>
    <cellStyle name="_방동_방동_수량산출서_2.역T형옹벽(변경)" xfId="920" xr:uid="{00000000-0005-0000-0000-000097030000}"/>
    <cellStyle name="_방동_방동_수량산출서_깨기수량" xfId="921" xr:uid="{00000000-0005-0000-0000-000098030000}"/>
    <cellStyle name="_방동_방동_수량산출서_깨기수량_1.역T형옹벽(변경)" xfId="922" xr:uid="{00000000-0005-0000-0000-000099030000}"/>
    <cellStyle name="_방동_방동_수량산출서_깨기수량_2.역T형옹벽(변경)" xfId="923" xr:uid="{00000000-0005-0000-0000-00009A030000}"/>
    <cellStyle name="_방동_방동_수량산출서_호안공" xfId="924" xr:uid="{00000000-0005-0000-0000-00009B030000}"/>
    <cellStyle name="_방동_방동_수량산출서_호안공_1.역T형옹벽(변경)" xfId="925" xr:uid="{00000000-0005-0000-0000-00009C030000}"/>
    <cellStyle name="_방동_방동_수량산출서_호안공_2.역T형옹벽(변경)" xfId="926" xr:uid="{00000000-0005-0000-0000-00009D030000}"/>
    <cellStyle name="_방동_방동_집계표" xfId="927" xr:uid="{00000000-0005-0000-0000-00009E030000}"/>
    <cellStyle name="_방동_방동_집계표_1.역T형옹벽(변경)" xfId="928" xr:uid="{00000000-0005-0000-0000-00009F030000}"/>
    <cellStyle name="_방동_방동_집계표_1공구수량" xfId="929" xr:uid="{00000000-0005-0000-0000-0000A0030000}"/>
    <cellStyle name="_방동_방동_집계표_1공구수량_1.역T형옹벽(변경)" xfId="930" xr:uid="{00000000-0005-0000-0000-0000A1030000}"/>
    <cellStyle name="_방동_방동_집계표_1공구수량_2.역T형옹벽(변경)" xfId="931" xr:uid="{00000000-0005-0000-0000-0000A2030000}"/>
    <cellStyle name="_방동_방동_집계표_2.역T형옹벽(변경)" xfId="932" xr:uid="{00000000-0005-0000-0000-0000A3030000}"/>
    <cellStyle name="_방동_방동_집계표_깨기수량" xfId="933" xr:uid="{00000000-0005-0000-0000-0000A4030000}"/>
    <cellStyle name="_방동_방동_집계표_깨기수량_1.역T형옹벽(변경)" xfId="934" xr:uid="{00000000-0005-0000-0000-0000A5030000}"/>
    <cellStyle name="_방동_방동_집계표_깨기수량_2.역T형옹벽(변경)" xfId="935" xr:uid="{00000000-0005-0000-0000-0000A6030000}"/>
    <cellStyle name="_방동_방동_집계표_집계표" xfId="936" xr:uid="{00000000-0005-0000-0000-0000A7030000}"/>
    <cellStyle name="_방동_방동_집계표_집계표_1.역T형옹벽(변경)" xfId="937" xr:uid="{00000000-0005-0000-0000-0000A8030000}"/>
    <cellStyle name="_방동_방동_집계표_집계표_1공구수량" xfId="938" xr:uid="{00000000-0005-0000-0000-0000A9030000}"/>
    <cellStyle name="_방동_방동_집계표_집계표_1공구수량_1.역T형옹벽(변경)" xfId="939" xr:uid="{00000000-0005-0000-0000-0000AA030000}"/>
    <cellStyle name="_방동_방동_집계표_집계표_1공구수량_2.역T형옹벽(변경)" xfId="940" xr:uid="{00000000-0005-0000-0000-0000AB030000}"/>
    <cellStyle name="_방동_방동_집계표_집계표_2.역T형옹벽(변경)" xfId="941" xr:uid="{00000000-0005-0000-0000-0000AC030000}"/>
    <cellStyle name="_방동_방동_집계표_집계표_깨기수량" xfId="942" xr:uid="{00000000-0005-0000-0000-0000AD030000}"/>
    <cellStyle name="_방동_방동_집계표_집계표_깨기수량_1.역T형옹벽(변경)" xfId="943" xr:uid="{00000000-0005-0000-0000-0000AE030000}"/>
    <cellStyle name="_방동_방동_집계표_집계표_깨기수량_2.역T형옹벽(변경)" xfId="944" xr:uid="{00000000-0005-0000-0000-0000AF030000}"/>
    <cellStyle name="_방동_방동_집계표_집계표_호안공" xfId="945" xr:uid="{00000000-0005-0000-0000-0000B0030000}"/>
    <cellStyle name="_방동_방동_집계표_집계표_호안공_1.역T형옹벽(변경)" xfId="946" xr:uid="{00000000-0005-0000-0000-0000B1030000}"/>
    <cellStyle name="_방동_방동_집계표_집계표_호안공_2.역T형옹벽(변경)" xfId="947" xr:uid="{00000000-0005-0000-0000-0000B2030000}"/>
    <cellStyle name="_방동_방동_집계표_호안공" xfId="948" xr:uid="{00000000-0005-0000-0000-0000B3030000}"/>
    <cellStyle name="_방동_방동_집계표_호안공_1.역T형옹벽(변경)" xfId="949" xr:uid="{00000000-0005-0000-0000-0000B4030000}"/>
    <cellStyle name="_방동_방동_집계표_호안공_2.역T형옹벽(변경)" xfId="950" xr:uid="{00000000-0005-0000-0000-0000B5030000}"/>
    <cellStyle name="_방동_방동_호안공" xfId="951" xr:uid="{00000000-0005-0000-0000-0000B6030000}"/>
    <cellStyle name="_방동_방동_호안공_1.역T형옹벽(변경)" xfId="952" xr:uid="{00000000-0005-0000-0000-0000B7030000}"/>
    <cellStyle name="_방동_방동_호안공_2.역T형옹벽(변경)" xfId="953" xr:uid="{00000000-0005-0000-0000-0000B8030000}"/>
    <cellStyle name="_방동_방동_호안공_호안공" xfId="954" xr:uid="{00000000-0005-0000-0000-0000B9030000}"/>
    <cellStyle name="_방동_방동_호안공_호안공_1.역T형옹벽(변경)" xfId="955" xr:uid="{00000000-0005-0000-0000-0000BA030000}"/>
    <cellStyle name="_방동_방동_호안공_호안공_2.역T형옹벽(변경)" xfId="956" xr:uid="{00000000-0005-0000-0000-0000BB030000}"/>
    <cellStyle name="_방동_산양2리지구" xfId="957" xr:uid="{00000000-0005-0000-0000-0000BC030000}"/>
    <cellStyle name="_방동_산양2리지구_1.역T형옹벽(변경)" xfId="958" xr:uid="{00000000-0005-0000-0000-0000BD030000}"/>
    <cellStyle name="_방동_산양2리지구_1공구수량" xfId="959" xr:uid="{00000000-0005-0000-0000-0000BE030000}"/>
    <cellStyle name="_방동_산양2리지구_1공구수량_1.역T형옹벽(변경)" xfId="960" xr:uid="{00000000-0005-0000-0000-0000BF030000}"/>
    <cellStyle name="_방동_산양2리지구_1공구수량_2.역T형옹벽(변경)" xfId="961" xr:uid="{00000000-0005-0000-0000-0000C0030000}"/>
    <cellStyle name="_방동_산양2리지구_2.역T형옹벽(변경)" xfId="962" xr:uid="{00000000-0005-0000-0000-0000C1030000}"/>
    <cellStyle name="_방동_산양2리지구_Book1" xfId="963" xr:uid="{00000000-0005-0000-0000-0000C2030000}"/>
    <cellStyle name="_방동_산양2리지구_Book1_1.역T형옹벽(변경)" xfId="964" xr:uid="{00000000-0005-0000-0000-0000C3030000}"/>
    <cellStyle name="_방동_산양2리지구_Book1_2.역T형옹벽(변경)" xfId="965" xr:uid="{00000000-0005-0000-0000-0000C4030000}"/>
    <cellStyle name="_방동_산양2리지구_Book1_호안공" xfId="966" xr:uid="{00000000-0005-0000-0000-0000C5030000}"/>
    <cellStyle name="_방동_산양2리지구_Book1_호안공_1.역T형옹벽(변경)" xfId="967" xr:uid="{00000000-0005-0000-0000-0000C6030000}"/>
    <cellStyle name="_방동_산양2리지구_Book1_호안공_2.역T형옹벽(변경)" xfId="968" xr:uid="{00000000-0005-0000-0000-0000C7030000}"/>
    <cellStyle name="_방동_산양2리지구_Book2" xfId="969" xr:uid="{00000000-0005-0000-0000-0000C8030000}"/>
    <cellStyle name="_방동_산양2리지구_Book2_1.역T형옹벽(변경)" xfId="970" xr:uid="{00000000-0005-0000-0000-0000C9030000}"/>
    <cellStyle name="_방동_산양2리지구_Book2_1공구수량" xfId="971" xr:uid="{00000000-0005-0000-0000-0000CA030000}"/>
    <cellStyle name="_방동_산양2리지구_Book2_1공구수량_1.역T형옹벽(변경)" xfId="972" xr:uid="{00000000-0005-0000-0000-0000CB030000}"/>
    <cellStyle name="_방동_산양2리지구_Book2_1공구수량_2.역T형옹벽(변경)" xfId="973" xr:uid="{00000000-0005-0000-0000-0000CC030000}"/>
    <cellStyle name="_방동_산양2리지구_Book2_2.역T형옹벽(변경)" xfId="974" xr:uid="{00000000-0005-0000-0000-0000CD030000}"/>
    <cellStyle name="_방동_산양2리지구_Book2_깨기수량" xfId="975" xr:uid="{00000000-0005-0000-0000-0000CE030000}"/>
    <cellStyle name="_방동_산양2리지구_Book2_깨기수량_1.역T형옹벽(변경)" xfId="976" xr:uid="{00000000-0005-0000-0000-0000CF030000}"/>
    <cellStyle name="_방동_산양2리지구_Book2_깨기수량_2.역T형옹벽(변경)" xfId="977" xr:uid="{00000000-0005-0000-0000-0000D0030000}"/>
    <cellStyle name="_방동_산양2리지구_Book2_집계표" xfId="978" xr:uid="{00000000-0005-0000-0000-0000D1030000}"/>
    <cellStyle name="_방동_산양2리지구_Book2_집계표_1.역T형옹벽(변경)" xfId="979" xr:uid="{00000000-0005-0000-0000-0000D2030000}"/>
    <cellStyle name="_방동_산양2리지구_Book2_집계표_1공구수량" xfId="980" xr:uid="{00000000-0005-0000-0000-0000D3030000}"/>
    <cellStyle name="_방동_산양2리지구_Book2_집계표_1공구수량_1.역T형옹벽(변경)" xfId="981" xr:uid="{00000000-0005-0000-0000-0000D4030000}"/>
    <cellStyle name="_방동_산양2리지구_Book2_집계표_1공구수량_2.역T형옹벽(변경)" xfId="982" xr:uid="{00000000-0005-0000-0000-0000D5030000}"/>
    <cellStyle name="_방동_산양2리지구_Book2_집계표_2.역T형옹벽(변경)" xfId="983" xr:uid="{00000000-0005-0000-0000-0000D6030000}"/>
    <cellStyle name="_방동_산양2리지구_Book2_집계표_깨기수량" xfId="984" xr:uid="{00000000-0005-0000-0000-0000D7030000}"/>
    <cellStyle name="_방동_산양2리지구_Book2_집계표_깨기수량_1.역T형옹벽(변경)" xfId="985" xr:uid="{00000000-0005-0000-0000-0000D8030000}"/>
    <cellStyle name="_방동_산양2리지구_Book2_집계표_깨기수량_2.역T형옹벽(변경)" xfId="986" xr:uid="{00000000-0005-0000-0000-0000D9030000}"/>
    <cellStyle name="_방동_산양2리지구_Book2_집계표_호안공" xfId="987" xr:uid="{00000000-0005-0000-0000-0000DA030000}"/>
    <cellStyle name="_방동_산양2리지구_Book2_집계표_호안공_1.역T형옹벽(변경)" xfId="988" xr:uid="{00000000-0005-0000-0000-0000DB030000}"/>
    <cellStyle name="_방동_산양2리지구_Book2_집계표_호안공_2.역T형옹벽(변경)" xfId="989" xr:uid="{00000000-0005-0000-0000-0000DC030000}"/>
    <cellStyle name="_방동_산양2리지구_Book2_호안공" xfId="990" xr:uid="{00000000-0005-0000-0000-0000DD030000}"/>
    <cellStyle name="_방동_산양2리지구_Book2_호안공_1.역T형옹벽(변경)" xfId="991" xr:uid="{00000000-0005-0000-0000-0000DE030000}"/>
    <cellStyle name="_방동_산양2리지구_Book2_호안공_2.역T형옹벽(변경)" xfId="992" xr:uid="{00000000-0005-0000-0000-0000DF030000}"/>
    <cellStyle name="_방동_산양2리지구_갈전리2공구수량" xfId="993" xr:uid="{00000000-0005-0000-0000-0000E0030000}"/>
    <cellStyle name="_방동_산양2리지구_갈전리2공구수량_1.역T형옹벽(변경)" xfId="994" xr:uid="{00000000-0005-0000-0000-0000E1030000}"/>
    <cellStyle name="_방동_산양2리지구_갈전리2공구수량_1공구수량" xfId="995" xr:uid="{00000000-0005-0000-0000-0000E2030000}"/>
    <cellStyle name="_방동_산양2리지구_갈전리2공구수량_1공구수량_1.역T형옹벽(변경)" xfId="996" xr:uid="{00000000-0005-0000-0000-0000E3030000}"/>
    <cellStyle name="_방동_산양2리지구_갈전리2공구수량_1공구수량_2.역T형옹벽(변경)" xfId="997" xr:uid="{00000000-0005-0000-0000-0000E4030000}"/>
    <cellStyle name="_방동_산양2리지구_갈전리2공구수량_2.역T형옹벽(변경)" xfId="998" xr:uid="{00000000-0005-0000-0000-0000E5030000}"/>
    <cellStyle name="_방동_산양2리지구_갈전리2공구수량_깨기수량" xfId="999" xr:uid="{00000000-0005-0000-0000-0000E6030000}"/>
    <cellStyle name="_방동_산양2리지구_갈전리2공구수량_깨기수량_1.역T형옹벽(변경)" xfId="1000" xr:uid="{00000000-0005-0000-0000-0000E7030000}"/>
    <cellStyle name="_방동_산양2리지구_갈전리2공구수량_깨기수량_2.역T형옹벽(변경)" xfId="1001" xr:uid="{00000000-0005-0000-0000-0000E8030000}"/>
    <cellStyle name="_방동_산양2리지구_갈전리2공구수량_호안공" xfId="1002" xr:uid="{00000000-0005-0000-0000-0000E9030000}"/>
    <cellStyle name="_방동_산양2리지구_갈전리2공구수량_호안공_1.역T형옹벽(변경)" xfId="1003" xr:uid="{00000000-0005-0000-0000-0000EA030000}"/>
    <cellStyle name="_방동_산양2리지구_갈전리2공구수량_호안공_2.역T형옹벽(변경)" xfId="1004" xr:uid="{00000000-0005-0000-0000-0000EB030000}"/>
    <cellStyle name="_방동_산양2리지구_깨기" xfId="1005" xr:uid="{00000000-0005-0000-0000-0000EC030000}"/>
    <cellStyle name="_방동_산양2리지구_깨기_1.역T형옹벽(변경)" xfId="1006" xr:uid="{00000000-0005-0000-0000-0000ED030000}"/>
    <cellStyle name="_방동_산양2리지구_깨기_1공구수량" xfId="1007" xr:uid="{00000000-0005-0000-0000-0000EE030000}"/>
    <cellStyle name="_방동_산양2리지구_깨기_1공구수량_1.역T형옹벽(변경)" xfId="1008" xr:uid="{00000000-0005-0000-0000-0000EF030000}"/>
    <cellStyle name="_방동_산양2리지구_깨기_1공구수량_2.역T형옹벽(변경)" xfId="1009" xr:uid="{00000000-0005-0000-0000-0000F0030000}"/>
    <cellStyle name="_방동_산양2리지구_깨기_2.역T형옹벽(변경)" xfId="1010" xr:uid="{00000000-0005-0000-0000-0000F1030000}"/>
    <cellStyle name="_방동_산양2리지구_깨기_깨기수량" xfId="1011" xr:uid="{00000000-0005-0000-0000-0000F2030000}"/>
    <cellStyle name="_방동_산양2리지구_깨기_깨기수량_1.역T형옹벽(변경)" xfId="1012" xr:uid="{00000000-0005-0000-0000-0000F3030000}"/>
    <cellStyle name="_방동_산양2리지구_깨기_깨기수량_2.역T형옹벽(변경)" xfId="1013" xr:uid="{00000000-0005-0000-0000-0000F4030000}"/>
    <cellStyle name="_방동_산양2리지구_깨기_호안공" xfId="1014" xr:uid="{00000000-0005-0000-0000-0000F5030000}"/>
    <cellStyle name="_방동_산양2리지구_깨기_호안공_1.역T형옹벽(변경)" xfId="1015" xr:uid="{00000000-0005-0000-0000-0000F6030000}"/>
    <cellStyle name="_방동_산양2리지구_깨기_호안공_2.역T형옹벽(변경)" xfId="1016" xr:uid="{00000000-0005-0000-0000-0000F7030000}"/>
    <cellStyle name="_방동_산양2리지구_깨기수량" xfId="1017" xr:uid="{00000000-0005-0000-0000-0000F8030000}"/>
    <cellStyle name="_방동_산양2리지구_깨기수량_1.역T형옹벽(변경)" xfId="1018" xr:uid="{00000000-0005-0000-0000-0000F9030000}"/>
    <cellStyle name="_방동_산양2리지구_깨기수량_2.역T형옹벽(변경)" xfId="1019" xr:uid="{00000000-0005-0000-0000-0000FA030000}"/>
    <cellStyle name="_방동_산양2리지구_수량" xfId="1020" xr:uid="{00000000-0005-0000-0000-0000FB030000}"/>
    <cellStyle name="_방동_산양2리지구_수량(말미골천)" xfId="1021" xr:uid="{00000000-0005-0000-0000-0000FC030000}"/>
    <cellStyle name="_방동_산양2리지구_수량(말미골천)_1.역T형옹벽(변경)" xfId="1022" xr:uid="{00000000-0005-0000-0000-0000FD030000}"/>
    <cellStyle name="_방동_산양2리지구_수량(말미골천)_1공구수량" xfId="1023" xr:uid="{00000000-0005-0000-0000-0000FE030000}"/>
    <cellStyle name="_방동_산양2리지구_수량(말미골천)_1공구수량_1.역T형옹벽(변경)" xfId="1024" xr:uid="{00000000-0005-0000-0000-0000FF030000}"/>
    <cellStyle name="_방동_산양2리지구_수량(말미골천)_1공구수량_2.역T형옹벽(변경)" xfId="1025" xr:uid="{00000000-0005-0000-0000-000000040000}"/>
    <cellStyle name="_방동_산양2리지구_수량(말미골천)_2.역T형옹벽(변경)" xfId="1026" xr:uid="{00000000-0005-0000-0000-000001040000}"/>
    <cellStyle name="_방동_산양2리지구_수량(말미골천)_깨기수량" xfId="1027" xr:uid="{00000000-0005-0000-0000-000002040000}"/>
    <cellStyle name="_방동_산양2리지구_수량(말미골천)_깨기수량_1.역T형옹벽(변경)" xfId="1028" xr:uid="{00000000-0005-0000-0000-000003040000}"/>
    <cellStyle name="_방동_산양2리지구_수량(말미골천)_깨기수량_2.역T형옹벽(변경)" xfId="1029" xr:uid="{00000000-0005-0000-0000-000004040000}"/>
    <cellStyle name="_방동_산양2리지구_수량(말미골천)_호안공" xfId="1030" xr:uid="{00000000-0005-0000-0000-000005040000}"/>
    <cellStyle name="_방동_산양2리지구_수량(말미골천)_호안공_1.역T형옹벽(변경)" xfId="1031" xr:uid="{00000000-0005-0000-0000-000006040000}"/>
    <cellStyle name="_방동_산양2리지구_수량(말미골천)_호안공_2.역T형옹벽(변경)" xfId="1032" xr:uid="{00000000-0005-0000-0000-000007040000}"/>
    <cellStyle name="_방동_산양2리지구_수량_1.역T형옹벽(변경)" xfId="1033" xr:uid="{00000000-0005-0000-0000-000008040000}"/>
    <cellStyle name="_방동_산양2리지구_수량_1공구수량" xfId="1034" xr:uid="{00000000-0005-0000-0000-000009040000}"/>
    <cellStyle name="_방동_산양2리지구_수량_1공구수량_1.역T형옹벽(변경)" xfId="1035" xr:uid="{00000000-0005-0000-0000-00000A040000}"/>
    <cellStyle name="_방동_산양2리지구_수량_1공구수량_2.역T형옹벽(변경)" xfId="1036" xr:uid="{00000000-0005-0000-0000-00000B040000}"/>
    <cellStyle name="_방동_산양2리지구_수량_2.역T형옹벽(변경)" xfId="1037" xr:uid="{00000000-0005-0000-0000-00000C040000}"/>
    <cellStyle name="_방동_산양2리지구_수량_깨기수량" xfId="1038" xr:uid="{00000000-0005-0000-0000-00000D040000}"/>
    <cellStyle name="_방동_산양2리지구_수량_깨기수량_1.역T형옹벽(변경)" xfId="1039" xr:uid="{00000000-0005-0000-0000-00000E040000}"/>
    <cellStyle name="_방동_산양2리지구_수량_깨기수량_2.역T형옹벽(변경)" xfId="1040" xr:uid="{00000000-0005-0000-0000-00000F040000}"/>
    <cellStyle name="_방동_산양2리지구_수량_호안공" xfId="1041" xr:uid="{00000000-0005-0000-0000-000010040000}"/>
    <cellStyle name="_방동_산양2리지구_수량_호안공_1.역T형옹벽(변경)" xfId="1042" xr:uid="{00000000-0005-0000-0000-000011040000}"/>
    <cellStyle name="_방동_산양2리지구_수량_호안공_2.역T형옹벽(변경)" xfId="1043" xr:uid="{00000000-0005-0000-0000-000012040000}"/>
    <cellStyle name="_방동_산양2리지구_수량산출서" xfId="1044" xr:uid="{00000000-0005-0000-0000-000013040000}"/>
    <cellStyle name="_방동_산양2리지구_수량산출서_1.역T형옹벽(변경)" xfId="1045" xr:uid="{00000000-0005-0000-0000-000014040000}"/>
    <cellStyle name="_방동_산양2리지구_수량산출서_1공구수량" xfId="1046" xr:uid="{00000000-0005-0000-0000-000015040000}"/>
    <cellStyle name="_방동_산양2리지구_수량산출서_1공구수량_1.역T형옹벽(변경)" xfId="1047" xr:uid="{00000000-0005-0000-0000-000016040000}"/>
    <cellStyle name="_방동_산양2리지구_수량산출서_1공구수량_2.역T형옹벽(변경)" xfId="1048" xr:uid="{00000000-0005-0000-0000-000017040000}"/>
    <cellStyle name="_방동_산양2리지구_수량산출서_2.역T형옹벽(변경)" xfId="1049" xr:uid="{00000000-0005-0000-0000-000018040000}"/>
    <cellStyle name="_방동_산양2리지구_수량산출서_깨기수량" xfId="1050" xr:uid="{00000000-0005-0000-0000-000019040000}"/>
    <cellStyle name="_방동_산양2리지구_수량산출서_깨기수량_1.역T형옹벽(변경)" xfId="1051" xr:uid="{00000000-0005-0000-0000-00001A040000}"/>
    <cellStyle name="_방동_산양2리지구_수량산출서_깨기수량_2.역T형옹벽(변경)" xfId="1052" xr:uid="{00000000-0005-0000-0000-00001B040000}"/>
    <cellStyle name="_방동_산양2리지구_수량산출서_호안공" xfId="1053" xr:uid="{00000000-0005-0000-0000-00001C040000}"/>
    <cellStyle name="_방동_산양2리지구_수량산출서_호안공_1.역T형옹벽(변경)" xfId="1054" xr:uid="{00000000-0005-0000-0000-00001D040000}"/>
    <cellStyle name="_방동_산양2리지구_수량산출서_호안공_2.역T형옹벽(변경)" xfId="1055" xr:uid="{00000000-0005-0000-0000-00001E040000}"/>
    <cellStyle name="_방동_산양2리지구_집계표" xfId="1056" xr:uid="{00000000-0005-0000-0000-00001F040000}"/>
    <cellStyle name="_방동_산양2리지구_집계표_1.역T형옹벽(변경)" xfId="1057" xr:uid="{00000000-0005-0000-0000-000020040000}"/>
    <cellStyle name="_방동_산양2리지구_집계표_1공구수량" xfId="1058" xr:uid="{00000000-0005-0000-0000-000021040000}"/>
    <cellStyle name="_방동_산양2리지구_집계표_1공구수량_1.역T형옹벽(변경)" xfId="1059" xr:uid="{00000000-0005-0000-0000-000022040000}"/>
    <cellStyle name="_방동_산양2리지구_집계표_1공구수량_2.역T형옹벽(변경)" xfId="1060" xr:uid="{00000000-0005-0000-0000-000023040000}"/>
    <cellStyle name="_방동_산양2리지구_집계표_2.역T형옹벽(변경)" xfId="1061" xr:uid="{00000000-0005-0000-0000-000024040000}"/>
    <cellStyle name="_방동_산양2리지구_집계표_깨기수량" xfId="1062" xr:uid="{00000000-0005-0000-0000-000025040000}"/>
    <cellStyle name="_방동_산양2리지구_집계표_깨기수량_1.역T형옹벽(변경)" xfId="1063" xr:uid="{00000000-0005-0000-0000-000026040000}"/>
    <cellStyle name="_방동_산양2리지구_집계표_깨기수량_2.역T형옹벽(변경)" xfId="1064" xr:uid="{00000000-0005-0000-0000-000027040000}"/>
    <cellStyle name="_방동_산양2리지구_집계표_집계표" xfId="1065" xr:uid="{00000000-0005-0000-0000-000028040000}"/>
    <cellStyle name="_방동_산양2리지구_집계표_집계표_1.역T형옹벽(변경)" xfId="1066" xr:uid="{00000000-0005-0000-0000-000029040000}"/>
    <cellStyle name="_방동_산양2리지구_집계표_집계표_1공구수량" xfId="1067" xr:uid="{00000000-0005-0000-0000-00002A040000}"/>
    <cellStyle name="_방동_산양2리지구_집계표_집계표_1공구수량_1.역T형옹벽(변경)" xfId="1068" xr:uid="{00000000-0005-0000-0000-00002B040000}"/>
    <cellStyle name="_방동_산양2리지구_집계표_집계표_1공구수량_2.역T형옹벽(변경)" xfId="1069" xr:uid="{00000000-0005-0000-0000-00002C040000}"/>
    <cellStyle name="_방동_산양2리지구_집계표_집계표_2.역T형옹벽(변경)" xfId="1070" xr:uid="{00000000-0005-0000-0000-00002D040000}"/>
    <cellStyle name="_방동_산양2리지구_집계표_집계표_깨기수량" xfId="1071" xr:uid="{00000000-0005-0000-0000-00002E040000}"/>
    <cellStyle name="_방동_산양2리지구_집계표_집계표_깨기수량_1.역T형옹벽(변경)" xfId="1072" xr:uid="{00000000-0005-0000-0000-00002F040000}"/>
    <cellStyle name="_방동_산양2리지구_집계표_집계표_깨기수량_2.역T형옹벽(변경)" xfId="1073" xr:uid="{00000000-0005-0000-0000-000030040000}"/>
    <cellStyle name="_방동_산양2리지구_집계표_집계표_호안공" xfId="1074" xr:uid="{00000000-0005-0000-0000-000031040000}"/>
    <cellStyle name="_방동_산양2리지구_집계표_집계표_호안공_1.역T형옹벽(변경)" xfId="1075" xr:uid="{00000000-0005-0000-0000-000032040000}"/>
    <cellStyle name="_방동_산양2리지구_집계표_집계표_호안공_2.역T형옹벽(변경)" xfId="1076" xr:uid="{00000000-0005-0000-0000-000033040000}"/>
    <cellStyle name="_방동_산양2리지구_집계표_호안공" xfId="1077" xr:uid="{00000000-0005-0000-0000-000034040000}"/>
    <cellStyle name="_방동_산양2리지구_집계표_호안공_1.역T형옹벽(변경)" xfId="1078" xr:uid="{00000000-0005-0000-0000-000035040000}"/>
    <cellStyle name="_방동_산양2리지구_집계표_호안공_2.역T형옹벽(변경)" xfId="1079" xr:uid="{00000000-0005-0000-0000-000036040000}"/>
    <cellStyle name="_방동_산양2리지구_호안공" xfId="1080" xr:uid="{00000000-0005-0000-0000-000037040000}"/>
    <cellStyle name="_방동_산양2리지구_호안공_1.역T형옹벽(변경)" xfId="1081" xr:uid="{00000000-0005-0000-0000-000038040000}"/>
    <cellStyle name="_방동_산양2리지구_호안공_2.역T형옹벽(변경)" xfId="1082" xr:uid="{00000000-0005-0000-0000-000039040000}"/>
    <cellStyle name="_방동_산양2리지구_호안공_호안공" xfId="1083" xr:uid="{00000000-0005-0000-0000-00003A040000}"/>
    <cellStyle name="_방동_산양2리지구_호안공_호안공_1.역T형옹벽(변경)" xfId="1084" xr:uid="{00000000-0005-0000-0000-00003B040000}"/>
    <cellStyle name="_방동_산양2리지구_호안공_호안공_2.역T형옹벽(변경)" xfId="1085" xr:uid="{00000000-0005-0000-0000-00003C040000}"/>
    <cellStyle name="_방동_산양리지구" xfId="1086" xr:uid="{00000000-0005-0000-0000-00003D040000}"/>
    <cellStyle name="_방동_산양리지구_1.역T형옹벽(변경)" xfId="1087" xr:uid="{00000000-0005-0000-0000-00003E040000}"/>
    <cellStyle name="_방동_산양리지구_1공구수량" xfId="1088" xr:uid="{00000000-0005-0000-0000-00003F040000}"/>
    <cellStyle name="_방동_산양리지구_1공구수량_1.역T형옹벽(변경)" xfId="1089" xr:uid="{00000000-0005-0000-0000-000040040000}"/>
    <cellStyle name="_방동_산양리지구_1공구수량_2.역T형옹벽(변경)" xfId="1090" xr:uid="{00000000-0005-0000-0000-000041040000}"/>
    <cellStyle name="_방동_산양리지구_2.역T형옹벽(변경)" xfId="1091" xr:uid="{00000000-0005-0000-0000-000042040000}"/>
    <cellStyle name="_방동_산양리지구_Book1" xfId="1092" xr:uid="{00000000-0005-0000-0000-000043040000}"/>
    <cellStyle name="_방동_산양리지구_Book1_1.역T형옹벽(변경)" xfId="1093" xr:uid="{00000000-0005-0000-0000-000044040000}"/>
    <cellStyle name="_방동_산양리지구_Book1_2.역T형옹벽(변경)" xfId="1094" xr:uid="{00000000-0005-0000-0000-000045040000}"/>
    <cellStyle name="_방동_산양리지구_Book1_호안공" xfId="1095" xr:uid="{00000000-0005-0000-0000-000046040000}"/>
    <cellStyle name="_방동_산양리지구_Book1_호안공_1.역T형옹벽(변경)" xfId="1096" xr:uid="{00000000-0005-0000-0000-000047040000}"/>
    <cellStyle name="_방동_산양리지구_Book1_호안공_2.역T형옹벽(변경)" xfId="1097" xr:uid="{00000000-0005-0000-0000-000048040000}"/>
    <cellStyle name="_방동_산양리지구_Book2" xfId="1098" xr:uid="{00000000-0005-0000-0000-000049040000}"/>
    <cellStyle name="_방동_산양리지구_Book2_1.역T형옹벽(변경)" xfId="1099" xr:uid="{00000000-0005-0000-0000-00004A040000}"/>
    <cellStyle name="_방동_산양리지구_Book2_1공구수량" xfId="1100" xr:uid="{00000000-0005-0000-0000-00004B040000}"/>
    <cellStyle name="_방동_산양리지구_Book2_1공구수량_1.역T형옹벽(변경)" xfId="1101" xr:uid="{00000000-0005-0000-0000-00004C040000}"/>
    <cellStyle name="_방동_산양리지구_Book2_1공구수량_2.역T형옹벽(변경)" xfId="1102" xr:uid="{00000000-0005-0000-0000-00004D040000}"/>
    <cellStyle name="_방동_산양리지구_Book2_2.역T형옹벽(변경)" xfId="1103" xr:uid="{00000000-0005-0000-0000-00004E040000}"/>
    <cellStyle name="_방동_산양리지구_Book2_깨기수량" xfId="1104" xr:uid="{00000000-0005-0000-0000-00004F040000}"/>
    <cellStyle name="_방동_산양리지구_Book2_깨기수량_1.역T형옹벽(변경)" xfId="1105" xr:uid="{00000000-0005-0000-0000-000050040000}"/>
    <cellStyle name="_방동_산양리지구_Book2_깨기수량_2.역T형옹벽(변경)" xfId="1106" xr:uid="{00000000-0005-0000-0000-000051040000}"/>
    <cellStyle name="_방동_산양리지구_Book2_집계표" xfId="1107" xr:uid="{00000000-0005-0000-0000-000052040000}"/>
    <cellStyle name="_방동_산양리지구_Book2_집계표_1.역T형옹벽(변경)" xfId="1108" xr:uid="{00000000-0005-0000-0000-000053040000}"/>
    <cellStyle name="_방동_산양리지구_Book2_집계표_1공구수량" xfId="1109" xr:uid="{00000000-0005-0000-0000-000054040000}"/>
    <cellStyle name="_방동_산양리지구_Book2_집계표_1공구수량_1.역T형옹벽(변경)" xfId="1110" xr:uid="{00000000-0005-0000-0000-000055040000}"/>
    <cellStyle name="_방동_산양리지구_Book2_집계표_1공구수량_2.역T형옹벽(변경)" xfId="1111" xr:uid="{00000000-0005-0000-0000-000056040000}"/>
    <cellStyle name="_방동_산양리지구_Book2_집계표_2.역T형옹벽(변경)" xfId="1112" xr:uid="{00000000-0005-0000-0000-000057040000}"/>
    <cellStyle name="_방동_산양리지구_Book2_집계표_깨기수량" xfId="1113" xr:uid="{00000000-0005-0000-0000-000058040000}"/>
    <cellStyle name="_방동_산양리지구_Book2_집계표_깨기수량_1.역T형옹벽(변경)" xfId="1114" xr:uid="{00000000-0005-0000-0000-000059040000}"/>
    <cellStyle name="_방동_산양리지구_Book2_집계표_깨기수량_2.역T형옹벽(변경)" xfId="1115" xr:uid="{00000000-0005-0000-0000-00005A040000}"/>
    <cellStyle name="_방동_산양리지구_Book2_집계표_호안공" xfId="1116" xr:uid="{00000000-0005-0000-0000-00005B040000}"/>
    <cellStyle name="_방동_산양리지구_Book2_집계표_호안공_1.역T형옹벽(변경)" xfId="1117" xr:uid="{00000000-0005-0000-0000-00005C040000}"/>
    <cellStyle name="_방동_산양리지구_Book2_집계표_호안공_2.역T형옹벽(변경)" xfId="1118" xr:uid="{00000000-0005-0000-0000-00005D040000}"/>
    <cellStyle name="_방동_산양리지구_Book2_호안공" xfId="1119" xr:uid="{00000000-0005-0000-0000-00005E040000}"/>
    <cellStyle name="_방동_산양리지구_Book2_호안공_1.역T형옹벽(변경)" xfId="1120" xr:uid="{00000000-0005-0000-0000-00005F040000}"/>
    <cellStyle name="_방동_산양리지구_Book2_호안공_2.역T형옹벽(변경)" xfId="1121" xr:uid="{00000000-0005-0000-0000-000060040000}"/>
    <cellStyle name="_방동_산양리지구_갈전리2공구수량" xfId="1122" xr:uid="{00000000-0005-0000-0000-000061040000}"/>
    <cellStyle name="_방동_산양리지구_갈전리2공구수량_1.역T형옹벽(변경)" xfId="1123" xr:uid="{00000000-0005-0000-0000-000062040000}"/>
    <cellStyle name="_방동_산양리지구_갈전리2공구수량_1공구수량" xfId="1124" xr:uid="{00000000-0005-0000-0000-000063040000}"/>
    <cellStyle name="_방동_산양리지구_갈전리2공구수량_1공구수량_1.역T형옹벽(변경)" xfId="1125" xr:uid="{00000000-0005-0000-0000-000064040000}"/>
    <cellStyle name="_방동_산양리지구_갈전리2공구수량_1공구수량_2.역T형옹벽(변경)" xfId="1126" xr:uid="{00000000-0005-0000-0000-000065040000}"/>
    <cellStyle name="_방동_산양리지구_갈전리2공구수량_2.역T형옹벽(변경)" xfId="1127" xr:uid="{00000000-0005-0000-0000-000066040000}"/>
    <cellStyle name="_방동_산양리지구_갈전리2공구수량_깨기수량" xfId="1128" xr:uid="{00000000-0005-0000-0000-000067040000}"/>
    <cellStyle name="_방동_산양리지구_갈전리2공구수량_깨기수량_1.역T형옹벽(변경)" xfId="1129" xr:uid="{00000000-0005-0000-0000-000068040000}"/>
    <cellStyle name="_방동_산양리지구_갈전리2공구수량_깨기수량_2.역T형옹벽(변경)" xfId="1130" xr:uid="{00000000-0005-0000-0000-000069040000}"/>
    <cellStyle name="_방동_산양리지구_갈전리2공구수량_호안공" xfId="1131" xr:uid="{00000000-0005-0000-0000-00006A040000}"/>
    <cellStyle name="_방동_산양리지구_갈전리2공구수량_호안공_1.역T형옹벽(변경)" xfId="1132" xr:uid="{00000000-0005-0000-0000-00006B040000}"/>
    <cellStyle name="_방동_산양리지구_갈전리2공구수량_호안공_2.역T형옹벽(변경)" xfId="1133" xr:uid="{00000000-0005-0000-0000-00006C040000}"/>
    <cellStyle name="_방동_산양리지구_깨기" xfId="1134" xr:uid="{00000000-0005-0000-0000-00006D040000}"/>
    <cellStyle name="_방동_산양리지구_깨기_1.역T형옹벽(변경)" xfId="1135" xr:uid="{00000000-0005-0000-0000-00006E040000}"/>
    <cellStyle name="_방동_산양리지구_깨기_1공구수량" xfId="1136" xr:uid="{00000000-0005-0000-0000-00006F040000}"/>
    <cellStyle name="_방동_산양리지구_깨기_1공구수량_1.역T형옹벽(변경)" xfId="1137" xr:uid="{00000000-0005-0000-0000-000070040000}"/>
    <cellStyle name="_방동_산양리지구_깨기_1공구수량_2.역T형옹벽(변경)" xfId="1138" xr:uid="{00000000-0005-0000-0000-000071040000}"/>
    <cellStyle name="_방동_산양리지구_깨기_2.역T형옹벽(변경)" xfId="1139" xr:uid="{00000000-0005-0000-0000-000072040000}"/>
    <cellStyle name="_방동_산양리지구_깨기_깨기수량" xfId="1140" xr:uid="{00000000-0005-0000-0000-000073040000}"/>
    <cellStyle name="_방동_산양리지구_깨기_깨기수량_1.역T형옹벽(변경)" xfId="1141" xr:uid="{00000000-0005-0000-0000-000074040000}"/>
    <cellStyle name="_방동_산양리지구_깨기_깨기수량_2.역T형옹벽(변경)" xfId="1142" xr:uid="{00000000-0005-0000-0000-000075040000}"/>
    <cellStyle name="_방동_산양리지구_깨기_호안공" xfId="1143" xr:uid="{00000000-0005-0000-0000-000076040000}"/>
    <cellStyle name="_방동_산양리지구_깨기_호안공_1.역T형옹벽(변경)" xfId="1144" xr:uid="{00000000-0005-0000-0000-000077040000}"/>
    <cellStyle name="_방동_산양리지구_깨기_호안공_2.역T형옹벽(변경)" xfId="1145" xr:uid="{00000000-0005-0000-0000-000078040000}"/>
    <cellStyle name="_방동_산양리지구_깨기수량" xfId="1146" xr:uid="{00000000-0005-0000-0000-000079040000}"/>
    <cellStyle name="_방동_산양리지구_깨기수량_1.역T형옹벽(변경)" xfId="1147" xr:uid="{00000000-0005-0000-0000-00007A040000}"/>
    <cellStyle name="_방동_산양리지구_깨기수량_2.역T형옹벽(변경)" xfId="1148" xr:uid="{00000000-0005-0000-0000-00007B040000}"/>
    <cellStyle name="_방동_산양리지구_수량" xfId="1149" xr:uid="{00000000-0005-0000-0000-00007C040000}"/>
    <cellStyle name="_방동_산양리지구_수량(말미골천)" xfId="1150" xr:uid="{00000000-0005-0000-0000-00007D040000}"/>
    <cellStyle name="_방동_산양리지구_수량(말미골천)_1.역T형옹벽(변경)" xfId="1151" xr:uid="{00000000-0005-0000-0000-00007E040000}"/>
    <cellStyle name="_방동_산양리지구_수량(말미골천)_1공구수량" xfId="1152" xr:uid="{00000000-0005-0000-0000-00007F040000}"/>
    <cellStyle name="_방동_산양리지구_수량(말미골천)_1공구수량_1.역T형옹벽(변경)" xfId="1153" xr:uid="{00000000-0005-0000-0000-000080040000}"/>
    <cellStyle name="_방동_산양리지구_수량(말미골천)_1공구수량_2.역T형옹벽(변경)" xfId="1154" xr:uid="{00000000-0005-0000-0000-000081040000}"/>
    <cellStyle name="_방동_산양리지구_수량(말미골천)_2.역T형옹벽(변경)" xfId="1155" xr:uid="{00000000-0005-0000-0000-000082040000}"/>
    <cellStyle name="_방동_산양리지구_수량(말미골천)_깨기수량" xfId="1156" xr:uid="{00000000-0005-0000-0000-000083040000}"/>
    <cellStyle name="_방동_산양리지구_수량(말미골천)_깨기수량_1.역T형옹벽(변경)" xfId="1157" xr:uid="{00000000-0005-0000-0000-000084040000}"/>
    <cellStyle name="_방동_산양리지구_수량(말미골천)_깨기수량_2.역T형옹벽(변경)" xfId="1158" xr:uid="{00000000-0005-0000-0000-000085040000}"/>
    <cellStyle name="_방동_산양리지구_수량(말미골천)_호안공" xfId="1159" xr:uid="{00000000-0005-0000-0000-000086040000}"/>
    <cellStyle name="_방동_산양리지구_수량(말미골천)_호안공_1.역T형옹벽(변경)" xfId="1160" xr:uid="{00000000-0005-0000-0000-000087040000}"/>
    <cellStyle name="_방동_산양리지구_수량(말미골천)_호안공_2.역T형옹벽(변경)" xfId="1161" xr:uid="{00000000-0005-0000-0000-000088040000}"/>
    <cellStyle name="_방동_산양리지구_수량_1.역T형옹벽(변경)" xfId="1162" xr:uid="{00000000-0005-0000-0000-000089040000}"/>
    <cellStyle name="_방동_산양리지구_수량_1공구수량" xfId="1163" xr:uid="{00000000-0005-0000-0000-00008A040000}"/>
    <cellStyle name="_방동_산양리지구_수량_1공구수량_1.역T형옹벽(변경)" xfId="1164" xr:uid="{00000000-0005-0000-0000-00008B040000}"/>
    <cellStyle name="_방동_산양리지구_수량_1공구수량_2.역T형옹벽(변경)" xfId="1165" xr:uid="{00000000-0005-0000-0000-00008C040000}"/>
    <cellStyle name="_방동_산양리지구_수량_2.역T형옹벽(변경)" xfId="1166" xr:uid="{00000000-0005-0000-0000-00008D040000}"/>
    <cellStyle name="_방동_산양리지구_수량_깨기수량" xfId="1167" xr:uid="{00000000-0005-0000-0000-00008E040000}"/>
    <cellStyle name="_방동_산양리지구_수량_깨기수량_1.역T형옹벽(변경)" xfId="1168" xr:uid="{00000000-0005-0000-0000-00008F040000}"/>
    <cellStyle name="_방동_산양리지구_수량_깨기수량_2.역T형옹벽(변경)" xfId="1169" xr:uid="{00000000-0005-0000-0000-000090040000}"/>
    <cellStyle name="_방동_산양리지구_수량_호안공" xfId="1170" xr:uid="{00000000-0005-0000-0000-000091040000}"/>
    <cellStyle name="_방동_산양리지구_수량_호안공_1.역T형옹벽(변경)" xfId="1171" xr:uid="{00000000-0005-0000-0000-000092040000}"/>
    <cellStyle name="_방동_산양리지구_수량_호안공_2.역T형옹벽(변경)" xfId="1172" xr:uid="{00000000-0005-0000-0000-000093040000}"/>
    <cellStyle name="_방동_산양리지구_수량산출서" xfId="1173" xr:uid="{00000000-0005-0000-0000-000094040000}"/>
    <cellStyle name="_방동_산양리지구_수량산출서_1.역T형옹벽(변경)" xfId="1174" xr:uid="{00000000-0005-0000-0000-000095040000}"/>
    <cellStyle name="_방동_산양리지구_수량산출서_1공구수량" xfId="1175" xr:uid="{00000000-0005-0000-0000-000096040000}"/>
    <cellStyle name="_방동_산양리지구_수량산출서_1공구수량_1.역T형옹벽(변경)" xfId="1176" xr:uid="{00000000-0005-0000-0000-000097040000}"/>
    <cellStyle name="_방동_산양리지구_수량산출서_1공구수량_2.역T형옹벽(변경)" xfId="1177" xr:uid="{00000000-0005-0000-0000-000098040000}"/>
    <cellStyle name="_방동_산양리지구_수량산출서_2.역T형옹벽(변경)" xfId="1178" xr:uid="{00000000-0005-0000-0000-000099040000}"/>
    <cellStyle name="_방동_산양리지구_수량산출서_깨기수량" xfId="1179" xr:uid="{00000000-0005-0000-0000-00009A040000}"/>
    <cellStyle name="_방동_산양리지구_수량산출서_깨기수량_1.역T형옹벽(변경)" xfId="1180" xr:uid="{00000000-0005-0000-0000-00009B040000}"/>
    <cellStyle name="_방동_산양리지구_수량산출서_깨기수량_2.역T형옹벽(변경)" xfId="1181" xr:uid="{00000000-0005-0000-0000-00009C040000}"/>
    <cellStyle name="_방동_산양리지구_수량산출서_호안공" xfId="1182" xr:uid="{00000000-0005-0000-0000-00009D040000}"/>
    <cellStyle name="_방동_산양리지구_수량산출서_호안공_1.역T형옹벽(변경)" xfId="1183" xr:uid="{00000000-0005-0000-0000-00009E040000}"/>
    <cellStyle name="_방동_산양리지구_수량산출서_호안공_2.역T형옹벽(변경)" xfId="1184" xr:uid="{00000000-0005-0000-0000-00009F040000}"/>
    <cellStyle name="_방동_산양리지구_집계표" xfId="1185" xr:uid="{00000000-0005-0000-0000-0000A0040000}"/>
    <cellStyle name="_방동_산양리지구_집계표_1.역T형옹벽(변경)" xfId="1186" xr:uid="{00000000-0005-0000-0000-0000A1040000}"/>
    <cellStyle name="_방동_산양리지구_집계표_1공구수량" xfId="1187" xr:uid="{00000000-0005-0000-0000-0000A2040000}"/>
    <cellStyle name="_방동_산양리지구_집계표_1공구수량_1.역T형옹벽(변경)" xfId="1188" xr:uid="{00000000-0005-0000-0000-0000A3040000}"/>
    <cellStyle name="_방동_산양리지구_집계표_1공구수량_2.역T형옹벽(변경)" xfId="1189" xr:uid="{00000000-0005-0000-0000-0000A4040000}"/>
    <cellStyle name="_방동_산양리지구_집계표_2.역T형옹벽(변경)" xfId="1190" xr:uid="{00000000-0005-0000-0000-0000A5040000}"/>
    <cellStyle name="_방동_산양리지구_집계표_깨기수량" xfId="1191" xr:uid="{00000000-0005-0000-0000-0000A6040000}"/>
    <cellStyle name="_방동_산양리지구_집계표_깨기수량_1.역T형옹벽(변경)" xfId="1192" xr:uid="{00000000-0005-0000-0000-0000A7040000}"/>
    <cellStyle name="_방동_산양리지구_집계표_깨기수량_2.역T형옹벽(변경)" xfId="1193" xr:uid="{00000000-0005-0000-0000-0000A8040000}"/>
    <cellStyle name="_방동_산양리지구_집계표_집계표" xfId="1194" xr:uid="{00000000-0005-0000-0000-0000A9040000}"/>
    <cellStyle name="_방동_산양리지구_집계표_집계표_1.역T형옹벽(변경)" xfId="1195" xr:uid="{00000000-0005-0000-0000-0000AA040000}"/>
    <cellStyle name="_방동_산양리지구_집계표_집계표_1공구수량" xfId="1196" xr:uid="{00000000-0005-0000-0000-0000AB040000}"/>
    <cellStyle name="_방동_산양리지구_집계표_집계표_1공구수량_1.역T형옹벽(변경)" xfId="1197" xr:uid="{00000000-0005-0000-0000-0000AC040000}"/>
    <cellStyle name="_방동_산양리지구_집계표_집계표_1공구수량_2.역T형옹벽(변경)" xfId="1198" xr:uid="{00000000-0005-0000-0000-0000AD040000}"/>
    <cellStyle name="_방동_산양리지구_집계표_집계표_2.역T형옹벽(변경)" xfId="1199" xr:uid="{00000000-0005-0000-0000-0000AE040000}"/>
    <cellStyle name="_방동_산양리지구_집계표_집계표_깨기수량" xfId="1200" xr:uid="{00000000-0005-0000-0000-0000AF040000}"/>
    <cellStyle name="_방동_산양리지구_집계표_집계표_깨기수량_1.역T형옹벽(변경)" xfId="1201" xr:uid="{00000000-0005-0000-0000-0000B0040000}"/>
    <cellStyle name="_방동_산양리지구_집계표_집계표_깨기수량_2.역T형옹벽(변경)" xfId="1202" xr:uid="{00000000-0005-0000-0000-0000B1040000}"/>
    <cellStyle name="_방동_산양리지구_집계표_집계표_호안공" xfId="1203" xr:uid="{00000000-0005-0000-0000-0000B2040000}"/>
    <cellStyle name="_방동_산양리지구_집계표_집계표_호안공_1.역T형옹벽(변경)" xfId="1204" xr:uid="{00000000-0005-0000-0000-0000B3040000}"/>
    <cellStyle name="_방동_산양리지구_집계표_집계표_호안공_2.역T형옹벽(변경)" xfId="1205" xr:uid="{00000000-0005-0000-0000-0000B4040000}"/>
    <cellStyle name="_방동_산양리지구_집계표_호안공" xfId="1206" xr:uid="{00000000-0005-0000-0000-0000B5040000}"/>
    <cellStyle name="_방동_산양리지구_집계표_호안공_1.역T형옹벽(변경)" xfId="1207" xr:uid="{00000000-0005-0000-0000-0000B6040000}"/>
    <cellStyle name="_방동_산양리지구_집계표_호안공_2.역T형옹벽(변경)" xfId="1208" xr:uid="{00000000-0005-0000-0000-0000B7040000}"/>
    <cellStyle name="_방동_산양리지구_호안공" xfId="1209" xr:uid="{00000000-0005-0000-0000-0000B8040000}"/>
    <cellStyle name="_방동_산양리지구_호안공_1.역T형옹벽(변경)" xfId="1210" xr:uid="{00000000-0005-0000-0000-0000B9040000}"/>
    <cellStyle name="_방동_산양리지구_호안공_2.역T형옹벽(변경)" xfId="1211" xr:uid="{00000000-0005-0000-0000-0000BA040000}"/>
    <cellStyle name="_방동_산양리지구_호안공_호안공" xfId="1212" xr:uid="{00000000-0005-0000-0000-0000BB040000}"/>
    <cellStyle name="_방동_산양리지구_호안공_호안공_1.역T형옹벽(변경)" xfId="1213" xr:uid="{00000000-0005-0000-0000-0000BC040000}"/>
    <cellStyle name="_방동_산양리지구_호안공_호안공_2.역T형옹벽(변경)" xfId="1214" xr:uid="{00000000-0005-0000-0000-0000BD040000}"/>
    <cellStyle name="_방동_서상2리" xfId="1215" xr:uid="{00000000-0005-0000-0000-0000BE040000}"/>
    <cellStyle name="_방동_서상2리_1.역T형옹벽(변경)" xfId="1216" xr:uid="{00000000-0005-0000-0000-0000BF040000}"/>
    <cellStyle name="_방동_서상2리_1공구수량" xfId="1217" xr:uid="{00000000-0005-0000-0000-0000C0040000}"/>
    <cellStyle name="_방동_서상2리_1공구수량_1.역T형옹벽(변경)" xfId="1218" xr:uid="{00000000-0005-0000-0000-0000C1040000}"/>
    <cellStyle name="_방동_서상2리_1공구수량_2.역T형옹벽(변경)" xfId="1219" xr:uid="{00000000-0005-0000-0000-0000C2040000}"/>
    <cellStyle name="_방동_서상2리_2.역T형옹벽(변경)" xfId="1220" xr:uid="{00000000-0005-0000-0000-0000C3040000}"/>
    <cellStyle name="_방동_서상2리_Book1" xfId="1221" xr:uid="{00000000-0005-0000-0000-0000C4040000}"/>
    <cellStyle name="_방동_서상2리_Book1_1.역T형옹벽(변경)" xfId="1222" xr:uid="{00000000-0005-0000-0000-0000C5040000}"/>
    <cellStyle name="_방동_서상2리_Book1_2.역T형옹벽(변경)" xfId="1223" xr:uid="{00000000-0005-0000-0000-0000C6040000}"/>
    <cellStyle name="_방동_서상2리_Book1_호안공" xfId="1224" xr:uid="{00000000-0005-0000-0000-0000C7040000}"/>
    <cellStyle name="_방동_서상2리_Book1_호안공_1.역T형옹벽(변경)" xfId="1225" xr:uid="{00000000-0005-0000-0000-0000C8040000}"/>
    <cellStyle name="_방동_서상2리_Book1_호안공_2.역T형옹벽(변경)" xfId="1226" xr:uid="{00000000-0005-0000-0000-0000C9040000}"/>
    <cellStyle name="_방동_서상2리_Book2" xfId="1227" xr:uid="{00000000-0005-0000-0000-0000CA040000}"/>
    <cellStyle name="_방동_서상2리_Book2_1.역T형옹벽(변경)" xfId="1228" xr:uid="{00000000-0005-0000-0000-0000CB040000}"/>
    <cellStyle name="_방동_서상2리_Book2_1공구수량" xfId="1229" xr:uid="{00000000-0005-0000-0000-0000CC040000}"/>
    <cellStyle name="_방동_서상2리_Book2_1공구수량_1.역T형옹벽(변경)" xfId="1230" xr:uid="{00000000-0005-0000-0000-0000CD040000}"/>
    <cellStyle name="_방동_서상2리_Book2_1공구수량_2.역T형옹벽(변경)" xfId="1231" xr:uid="{00000000-0005-0000-0000-0000CE040000}"/>
    <cellStyle name="_방동_서상2리_Book2_2.역T형옹벽(변경)" xfId="1232" xr:uid="{00000000-0005-0000-0000-0000CF040000}"/>
    <cellStyle name="_방동_서상2리_Book2_깨기수량" xfId="1233" xr:uid="{00000000-0005-0000-0000-0000D0040000}"/>
    <cellStyle name="_방동_서상2리_Book2_깨기수량_1.역T형옹벽(변경)" xfId="1234" xr:uid="{00000000-0005-0000-0000-0000D1040000}"/>
    <cellStyle name="_방동_서상2리_Book2_깨기수량_2.역T형옹벽(변경)" xfId="1235" xr:uid="{00000000-0005-0000-0000-0000D2040000}"/>
    <cellStyle name="_방동_서상2리_Book2_집계표" xfId="1236" xr:uid="{00000000-0005-0000-0000-0000D3040000}"/>
    <cellStyle name="_방동_서상2리_Book2_집계표_1.역T형옹벽(변경)" xfId="1237" xr:uid="{00000000-0005-0000-0000-0000D4040000}"/>
    <cellStyle name="_방동_서상2리_Book2_집계표_1공구수량" xfId="1238" xr:uid="{00000000-0005-0000-0000-0000D5040000}"/>
    <cellStyle name="_방동_서상2리_Book2_집계표_1공구수량_1.역T형옹벽(변경)" xfId="1239" xr:uid="{00000000-0005-0000-0000-0000D6040000}"/>
    <cellStyle name="_방동_서상2리_Book2_집계표_1공구수량_2.역T형옹벽(변경)" xfId="1240" xr:uid="{00000000-0005-0000-0000-0000D7040000}"/>
    <cellStyle name="_방동_서상2리_Book2_집계표_2.역T형옹벽(변경)" xfId="1241" xr:uid="{00000000-0005-0000-0000-0000D8040000}"/>
    <cellStyle name="_방동_서상2리_Book2_집계표_깨기수량" xfId="1242" xr:uid="{00000000-0005-0000-0000-0000D9040000}"/>
    <cellStyle name="_방동_서상2리_Book2_집계표_깨기수량_1.역T형옹벽(변경)" xfId="1243" xr:uid="{00000000-0005-0000-0000-0000DA040000}"/>
    <cellStyle name="_방동_서상2리_Book2_집계표_깨기수량_2.역T형옹벽(변경)" xfId="1244" xr:uid="{00000000-0005-0000-0000-0000DB040000}"/>
    <cellStyle name="_방동_서상2리_Book2_집계표_호안공" xfId="1245" xr:uid="{00000000-0005-0000-0000-0000DC040000}"/>
    <cellStyle name="_방동_서상2리_Book2_집계표_호안공_1.역T형옹벽(변경)" xfId="1246" xr:uid="{00000000-0005-0000-0000-0000DD040000}"/>
    <cellStyle name="_방동_서상2리_Book2_집계표_호안공_2.역T형옹벽(변경)" xfId="1247" xr:uid="{00000000-0005-0000-0000-0000DE040000}"/>
    <cellStyle name="_방동_서상2리_Book2_호안공" xfId="1248" xr:uid="{00000000-0005-0000-0000-0000DF040000}"/>
    <cellStyle name="_방동_서상2리_Book2_호안공_1.역T형옹벽(변경)" xfId="1249" xr:uid="{00000000-0005-0000-0000-0000E0040000}"/>
    <cellStyle name="_방동_서상2리_Book2_호안공_2.역T형옹벽(변경)" xfId="1250" xr:uid="{00000000-0005-0000-0000-0000E1040000}"/>
    <cellStyle name="_방동_서상2리_갈전리2공구수량" xfId="1251" xr:uid="{00000000-0005-0000-0000-0000E2040000}"/>
    <cellStyle name="_방동_서상2리_갈전리2공구수량_1.역T형옹벽(변경)" xfId="1252" xr:uid="{00000000-0005-0000-0000-0000E3040000}"/>
    <cellStyle name="_방동_서상2리_갈전리2공구수량_1공구수량" xfId="1253" xr:uid="{00000000-0005-0000-0000-0000E4040000}"/>
    <cellStyle name="_방동_서상2리_갈전리2공구수량_1공구수량_1.역T형옹벽(변경)" xfId="1254" xr:uid="{00000000-0005-0000-0000-0000E5040000}"/>
    <cellStyle name="_방동_서상2리_갈전리2공구수량_1공구수량_2.역T형옹벽(변경)" xfId="1255" xr:uid="{00000000-0005-0000-0000-0000E6040000}"/>
    <cellStyle name="_방동_서상2리_갈전리2공구수량_2.역T형옹벽(변경)" xfId="1256" xr:uid="{00000000-0005-0000-0000-0000E7040000}"/>
    <cellStyle name="_방동_서상2리_갈전리2공구수량_깨기수량" xfId="1257" xr:uid="{00000000-0005-0000-0000-0000E8040000}"/>
    <cellStyle name="_방동_서상2리_갈전리2공구수량_깨기수량_1.역T형옹벽(변경)" xfId="1258" xr:uid="{00000000-0005-0000-0000-0000E9040000}"/>
    <cellStyle name="_방동_서상2리_갈전리2공구수량_깨기수량_2.역T형옹벽(변경)" xfId="1259" xr:uid="{00000000-0005-0000-0000-0000EA040000}"/>
    <cellStyle name="_방동_서상2리_갈전리2공구수량_호안공" xfId="1260" xr:uid="{00000000-0005-0000-0000-0000EB040000}"/>
    <cellStyle name="_방동_서상2리_갈전리2공구수량_호안공_1.역T형옹벽(변경)" xfId="1261" xr:uid="{00000000-0005-0000-0000-0000EC040000}"/>
    <cellStyle name="_방동_서상2리_갈전리2공구수량_호안공_2.역T형옹벽(변경)" xfId="1262" xr:uid="{00000000-0005-0000-0000-0000ED040000}"/>
    <cellStyle name="_방동_서상2리_깨기" xfId="1263" xr:uid="{00000000-0005-0000-0000-0000EE040000}"/>
    <cellStyle name="_방동_서상2리_깨기_1.역T형옹벽(변경)" xfId="1264" xr:uid="{00000000-0005-0000-0000-0000EF040000}"/>
    <cellStyle name="_방동_서상2리_깨기_1공구수량" xfId="1265" xr:uid="{00000000-0005-0000-0000-0000F0040000}"/>
    <cellStyle name="_방동_서상2리_깨기_1공구수량_1.역T형옹벽(변경)" xfId="1266" xr:uid="{00000000-0005-0000-0000-0000F1040000}"/>
    <cellStyle name="_방동_서상2리_깨기_1공구수량_2.역T형옹벽(변경)" xfId="1267" xr:uid="{00000000-0005-0000-0000-0000F2040000}"/>
    <cellStyle name="_방동_서상2리_깨기_2.역T형옹벽(변경)" xfId="1268" xr:uid="{00000000-0005-0000-0000-0000F3040000}"/>
    <cellStyle name="_방동_서상2리_깨기_깨기수량" xfId="1269" xr:uid="{00000000-0005-0000-0000-0000F4040000}"/>
    <cellStyle name="_방동_서상2리_깨기_깨기수량_1.역T형옹벽(변경)" xfId="1270" xr:uid="{00000000-0005-0000-0000-0000F5040000}"/>
    <cellStyle name="_방동_서상2리_깨기_깨기수량_2.역T형옹벽(변경)" xfId="1271" xr:uid="{00000000-0005-0000-0000-0000F6040000}"/>
    <cellStyle name="_방동_서상2리_깨기_호안공" xfId="1272" xr:uid="{00000000-0005-0000-0000-0000F7040000}"/>
    <cellStyle name="_방동_서상2리_깨기_호안공_1.역T형옹벽(변경)" xfId="1273" xr:uid="{00000000-0005-0000-0000-0000F8040000}"/>
    <cellStyle name="_방동_서상2리_깨기_호안공_2.역T형옹벽(변경)" xfId="1274" xr:uid="{00000000-0005-0000-0000-0000F9040000}"/>
    <cellStyle name="_방동_서상2리_깨기수량" xfId="1275" xr:uid="{00000000-0005-0000-0000-0000FA040000}"/>
    <cellStyle name="_방동_서상2리_깨기수량_1.역T형옹벽(변경)" xfId="1276" xr:uid="{00000000-0005-0000-0000-0000FB040000}"/>
    <cellStyle name="_방동_서상2리_깨기수량_2.역T형옹벽(변경)" xfId="1277" xr:uid="{00000000-0005-0000-0000-0000FC040000}"/>
    <cellStyle name="_방동_서상2리_수량" xfId="1278" xr:uid="{00000000-0005-0000-0000-0000FD040000}"/>
    <cellStyle name="_방동_서상2리_수량(말미골천)" xfId="1279" xr:uid="{00000000-0005-0000-0000-0000FE040000}"/>
    <cellStyle name="_방동_서상2리_수량(말미골천)_1.역T형옹벽(변경)" xfId="1280" xr:uid="{00000000-0005-0000-0000-0000FF040000}"/>
    <cellStyle name="_방동_서상2리_수량(말미골천)_1공구수량" xfId="1281" xr:uid="{00000000-0005-0000-0000-000000050000}"/>
    <cellStyle name="_방동_서상2리_수량(말미골천)_1공구수량_1.역T형옹벽(변경)" xfId="1282" xr:uid="{00000000-0005-0000-0000-000001050000}"/>
    <cellStyle name="_방동_서상2리_수량(말미골천)_1공구수량_2.역T형옹벽(변경)" xfId="1283" xr:uid="{00000000-0005-0000-0000-000002050000}"/>
    <cellStyle name="_방동_서상2리_수량(말미골천)_2.역T형옹벽(변경)" xfId="1284" xr:uid="{00000000-0005-0000-0000-000003050000}"/>
    <cellStyle name="_방동_서상2리_수량(말미골천)_깨기수량" xfId="1285" xr:uid="{00000000-0005-0000-0000-000004050000}"/>
    <cellStyle name="_방동_서상2리_수량(말미골천)_깨기수량_1.역T형옹벽(변경)" xfId="1286" xr:uid="{00000000-0005-0000-0000-000005050000}"/>
    <cellStyle name="_방동_서상2리_수량(말미골천)_깨기수량_2.역T형옹벽(변경)" xfId="1287" xr:uid="{00000000-0005-0000-0000-000006050000}"/>
    <cellStyle name="_방동_서상2리_수량(말미골천)_호안공" xfId="1288" xr:uid="{00000000-0005-0000-0000-000007050000}"/>
    <cellStyle name="_방동_서상2리_수량(말미골천)_호안공_1.역T형옹벽(변경)" xfId="1289" xr:uid="{00000000-0005-0000-0000-000008050000}"/>
    <cellStyle name="_방동_서상2리_수량(말미골천)_호안공_2.역T형옹벽(변경)" xfId="1290" xr:uid="{00000000-0005-0000-0000-000009050000}"/>
    <cellStyle name="_방동_서상2리_수량_1.역T형옹벽(변경)" xfId="1291" xr:uid="{00000000-0005-0000-0000-00000A050000}"/>
    <cellStyle name="_방동_서상2리_수량_1공구수량" xfId="1292" xr:uid="{00000000-0005-0000-0000-00000B050000}"/>
    <cellStyle name="_방동_서상2리_수량_1공구수량_1.역T형옹벽(변경)" xfId="1293" xr:uid="{00000000-0005-0000-0000-00000C050000}"/>
    <cellStyle name="_방동_서상2리_수량_1공구수량_2.역T형옹벽(변경)" xfId="1294" xr:uid="{00000000-0005-0000-0000-00000D050000}"/>
    <cellStyle name="_방동_서상2리_수량_2.역T형옹벽(변경)" xfId="1295" xr:uid="{00000000-0005-0000-0000-00000E050000}"/>
    <cellStyle name="_방동_서상2리_수량_깨기수량" xfId="1296" xr:uid="{00000000-0005-0000-0000-00000F050000}"/>
    <cellStyle name="_방동_서상2리_수량_깨기수량_1.역T형옹벽(변경)" xfId="1297" xr:uid="{00000000-0005-0000-0000-000010050000}"/>
    <cellStyle name="_방동_서상2리_수량_깨기수량_2.역T형옹벽(변경)" xfId="1298" xr:uid="{00000000-0005-0000-0000-000011050000}"/>
    <cellStyle name="_방동_서상2리_수량_호안공" xfId="1299" xr:uid="{00000000-0005-0000-0000-000012050000}"/>
    <cellStyle name="_방동_서상2리_수량_호안공_1.역T형옹벽(변경)" xfId="1300" xr:uid="{00000000-0005-0000-0000-000013050000}"/>
    <cellStyle name="_방동_서상2리_수량_호안공_2.역T형옹벽(변경)" xfId="1301" xr:uid="{00000000-0005-0000-0000-000014050000}"/>
    <cellStyle name="_방동_서상2리_수량산출서" xfId="1302" xr:uid="{00000000-0005-0000-0000-000015050000}"/>
    <cellStyle name="_방동_서상2리_수량산출서_1.역T형옹벽(변경)" xfId="1303" xr:uid="{00000000-0005-0000-0000-000016050000}"/>
    <cellStyle name="_방동_서상2리_수량산출서_1공구수량" xfId="1304" xr:uid="{00000000-0005-0000-0000-000017050000}"/>
    <cellStyle name="_방동_서상2리_수량산출서_1공구수량_1.역T형옹벽(변경)" xfId="1305" xr:uid="{00000000-0005-0000-0000-000018050000}"/>
    <cellStyle name="_방동_서상2리_수량산출서_1공구수량_2.역T형옹벽(변경)" xfId="1306" xr:uid="{00000000-0005-0000-0000-000019050000}"/>
    <cellStyle name="_방동_서상2리_수량산출서_2.역T형옹벽(변경)" xfId="1307" xr:uid="{00000000-0005-0000-0000-00001A050000}"/>
    <cellStyle name="_방동_서상2리_수량산출서_깨기수량" xfId="1308" xr:uid="{00000000-0005-0000-0000-00001B050000}"/>
    <cellStyle name="_방동_서상2리_수량산출서_깨기수량_1.역T형옹벽(변경)" xfId="1309" xr:uid="{00000000-0005-0000-0000-00001C050000}"/>
    <cellStyle name="_방동_서상2리_수량산출서_깨기수량_2.역T형옹벽(변경)" xfId="1310" xr:uid="{00000000-0005-0000-0000-00001D050000}"/>
    <cellStyle name="_방동_서상2리_수량산출서_호안공" xfId="1311" xr:uid="{00000000-0005-0000-0000-00001E050000}"/>
    <cellStyle name="_방동_서상2리_수량산출서_호안공_1.역T형옹벽(변경)" xfId="1312" xr:uid="{00000000-0005-0000-0000-00001F050000}"/>
    <cellStyle name="_방동_서상2리_수량산출서_호안공_2.역T형옹벽(변경)" xfId="1313" xr:uid="{00000000-0005-0000-0000-000020050000}"/>
    <cellStyle name="_방동_서상2리_집계표" xfId="1314" xr:uid="{00000000-0005-0000-0000-000021050000}"/>
    <cellStyle name="_방동_서상2리_집계표_1.역T형옹벽(변경)" xfId="1315" xr:uid="{00000000-0005-0000-0000-000022050000}"/>
    <cellStyle name="_방동_서상2리_집계표_1공구수량" xfId="1316" xr:uid="{00000000-0005-0000-0000-000023050000}"/>
    <cellStyle name="_방동_서상2리_집계표_1공구수량_1.역T형옹벽(변경)" xfId="1317" xr:uid="{00000000-0005-0000-0000-000024050000}"/>
    <cellStyle name="_방동_서상2리_집계표_1공구수량_2.역T형옹벽(변경)" xfId="1318" xr:uid="{00000000-0005-0000-0000-000025050000}"/>
    <cellStyle name="_방동_서상2리_집계표_2.역T형옹벽(변경)" xfId="1319" xr:uid="{00000000-0005-0000-0000-000026050000}"/>
    <cellStyle name="_방동_서상2리_집계표_깨기수량" xfId="1320" xr:uid="{00000000-0005-0000-0000-000027050000}"/>
    <cellStyle name="_방동_서상2리_집계표_깨기수량_1.역T형옹벽(변경)" xfId="1321" xr:uid="{00000000-0005-0000-0000-000028050000}"/>
    <cellStyle name="_방동_서상2리_집계표_깨기수량_2.역T형옹벽(변경)" xfId="1322" xr:uid="{00000000-0005-0000-0000-000029050000}"/>
    <cellStyle name="_방동_서상2리_집계표_집계표" xfId="1323" xr:uid="{00000000-0005-0000-0000-00002A050000}"/>
    <cellStyle name="_방동_서상2리_집계표_집계표_1.역T형옹벽(변경)" xfId="1324" xr:uid="{00000000-0005-0000-0000-00002B050000}"/>
    <cellStyle name="_방동_서상2리_집계표_집계표_1공구수량" xfId="1325" xr:uid="{00000000-0005-0000-0000-00002C050000}"/>
    <cellStyle name="_방동_서상2리_집계표_집계표_1공구수량_1.역T형옹벽(변경)" xfId="1326" xr:uid="{00000000-0005-0000-0000-00002D050000}"/>
    <cellStyle name="_방동_서상2리_집계표_집계표_1공구수량_2.역T형옹벽(변경)" xfId="1327" xr:uid="{00000000-0005-0000-0000-00002E050000}"/>
    <cellStyle name="_방동_서상2리_집계표_집계표_2.역T형옹벽(변경)" xfId="1328" xr:uid="{00000000-0005-0000-0000-00002F050000}"/>
    <cellStyle name="_방동_서상2리_집계표_집계표_깨기수량" xfId="1329" xr:uid="{00000000-0005-0000-0000-000030050000}"/>
    <cellStyle name="_방동_서상2리_집계표_집계표_깨기수량_1.역T형옹벽(변경)" xfId="1330" xr:uid="{00000000-0005-0000-0000-000031050000}"/>
    <cellStyle name="_방동_서상2리_집계표_집계표_깨기수량_2.역T형옹벽(변경)" xfId="1331" xr:uid="{00000000-0005-0000-0000-000032050000}"/>
    <cellStyle name="_방동_서상2리_집계표_집계표_호안공" xfId="1332" xr:uid="{00000000-0005-0000-0000-000033050000}"/>
    <cellStyle name="_방동_서상2리_집계표_집계표_호안공_1.역T형옹벽(변경)" xfId="1333" xr:uid="{00000000-0005-0000-0000-000034050000}"/>
    <cellStyle name="_방동_서상2리_집계표_집계표_호안공_2.역T형옹벽(변경)" xfId="1334" xr:uid="{00000000-0005-0000-0000-000035050000}"/>
    <cellStyle name="_방동_서상2리_집계표_호안공" xfId="1335" xr:uid="{00000000-0005-0000-0000-000036050000}"/>
    <cellStyle name="_방동_서상2리_집계표_호안공_1.역T형옹벽(변경)" xfId="1336" xr:uid="{00000000-0005-0000-0000-000037050000}"/>
    <cellStyle name="_방동_서상2리_집계표_호안공_2.역T형옹벽(변경)" xfId="1337" xr:uid="{00000000-0005-0000-0000-000038050000}"/>
    <cellStyle name="_방동_서상2리_호안공" xfId="1338" xr:uid="{00000000-0005-0000-0000-000039050000}"/>
    <cellStyle name="_방동_서상2리_호안공_1.역T형옹벽(변경)" xfId="1339" xr:uid="{00000000-0005-0000-0000-00003A050000}"/>
    <cellStyle name="_방동_서상2리_호안공_2.역T형옹벽(변경)" xfId="1340" xr:uid="{00000000-0005-0000-0000-00003B050000}"/>
    <cellStyle name="_방동_서상2리_호안공_호안공" xfId="1341" xr:uid="{00000000-0005-0000-0000-00003C050000}"/>
    <cellStyle name="_방동_서상2리_호안공_호안공_1.역T형옹벽(변경)" xfId="1342" xr:uid="{00000000-0005-0000-0000-00003D050000}"/>
    <cellStyle name="_방동_서상2리_호안공_호안공_2.역T형옹벽(변경)" xfId="1343" xr:uid="{00000000-0005-0000-0000-00003E050000}"/>
    <cellStyle name="_방동_수량" xfId="1344" xr:uid="{00000000-0005-0000-0000-00003F050000}"/>
    <cellStyle name="_방동_수량(말미골천)" xfId="1345" xr:uid="{00000000-0005-0000-0000-000040050000}"/>
    <cellStyle name="_방동_수량(말미골천)_1.역T형옹벽(변경)" xfId="1346" xr:uid="{00000000-0005-0000-0000-000041050000}"/>
    <cellStyle name="_방동_수량(말미골천)_1공구수량" xfId="1347" xr:uid="{00000000-0005-0000-0000-000042050000}"/>
    <cellStyle name="_방동_수량(말미골천)_1공구수량_1.역T형옹벽(변경)" xfId="1348" xr:uid="{00000000-0005-0000-0000-000043050000}"/>
    <cellStyle name="_방동_수량(말미골천)_1공구수량_2.역T형옹벽(변경)" xfId="1349" xr:uid="{00000000-0005-0000-0000-000044050000}"/>
    <cellStyle name="_방동_수량(말미골천)_2.역T형옹벽(변경)" xfId="1350" xr:uid="{00000000-0005-0000-0000-000045050000}"/>
    <cellStyle name="_방동_수량(말미골천)_깨기수량" xfId="1351" xr:uid="{00000000-0005-0000-0000-000046050000}"/>
    <cellStyle name="_방동_수량(말미골천)_깨기수량_1.역T형옹벽(변경)" xfId="1352" xr:uid="{00000000-0005-0000-0000-000047050000}"/>
    <cellStyle name="_방동_수량(말미골천)_깨기수량_2.역T형옹벽(변경)" xfId="1353" xr:uid="{00000000-0005-0000-0000-000048050000}"/>
    <cellStyle name="_방동_수량(말미골천)_호안공" xfId="1354" xr:uid="{00000000-0005-0000-0000-000049050000}"/>
    <cellStyle name="_방동_수량(말미골천)_호안공_1.역T형옹벽(변경)" xfId="1355" xr:uid="{00000000-0005-0000-0000-00004A050000}"/>
    <cellStyle name="_방동_수량(말미골천)_호안공_2.역T형옹벽(변경)" xfId="1356" xr:uid="{00000000-0005-0000-0000-00004B050000}"/>
    <cellStyle name="_방동_수량_1.역T형옹벽(변경)" xfId="1357" xr:uid="{00000000-0005-0000-0000-00004C050000}"/>
    <cellStyle name="_방동_수량_1공구수량" xfId="1358" xr:uid="{00000000-0005-0000-0000-00004D050000}"/>
    <cellStyle name="_방동_수량_1공구수량_1.역T형옹벽(변경)" xfId="1359" xr:uid="{00000000-0005-0000-0000-00004E050000}"/>
    <cellStyle name="_방동_수량_1공구수량_2.역T형옹벽(변경)" xfId="1360" xr:uid="{00000000-0005-0000-0000-00004F050000}"/>
    <cellStyle name="_방동_수량_2.역T형옹벽(변경)" xfId="1361" xr:uid="{00000000-0005-0000-0000-000050050000}"/>
    <cellStyle name="_방동_수량_깨기수량" xfId="1362" xr:uid="{00000000-0005-0000-0000-000051050000}"/>
    <cellStyle name="_방동_수량_깨기수량_1.역T형옹벽(변경)" xfId="1363" xr:uid="{00000000-0005-0000-0000-000052050000}"/>
    <cellStyle name="_방동_수량_깨기수량_2.역T형옹벽(변경)" xfId="1364" xr:uid="{00000000-0005-0000-0000-000053050000}"/>
    <cellStyle name="_방동_수량_호안공" xfId="1365" xr:uid="{00000000-0005-0000-0000-000054050000}"/>
    <cellStyle name="_방동_수량_호안공_1.역T형옹벽(변경)" xfId="1366" xr:uid="{00000000-0005-0000-0000-000055050000}"/>
    <cellStyle name="_방동_수량_호안공_2.역T형옹벽(변경)" xfId="1367" xr:uid="{00000000-0005-0000-0000-000056050000}"/>
    <cellStyle name="_방동_수량산출서" xfId="1368" xr:uid="{00000000-0005-0000-0000-000057050000}"/>
    <cellStyle name="_방동_수량산출서_1.역T형옹벽(변경)" xfId="1369" xr:uid="{00000000-0005-0000-0000-000058050000}"/>
    <cellStyle name="_방동_수량산출서_1공구수량" xfId="1370" xr:uid="{00000000-0005-0000-0000-000059050000}"/>
    <cellStyle name="_방동_수량산출서_1공구수량_1.역T형옹벽(변경)" xfId="1371" xr:uid="{00000000-0005-0000-0000-00005A050000}"/>
    <cellStyle name="_방동_수량산출서_1공구수량_2.역T형옹벽(변경)" xfId="1372" xr:uid="{00000000-0005-0000-0000-00005B050000}"/>
    <cellStyle name="_방동_수량산출서_2.역T형옹벽(변경)" xfId="1373" xr:uid="{00000000-0005-0000-0000-00005C050000}"/>
    <cellStyle name="_방동_수량산출서_깨기수량" xfId="1374" xr:uid="{00000000-0005-0000-0000-00005D050000}"/>
    <cellStyle name="_방동_수량산출서_깨기수량_1.역T형옹벽(변경)" xfId="1375" xr:uid="{00000000-0005-0000-0000-00005E050000}"/>
    <cellStyle name="_방동_수량산출서_깨기수량_2.역T형옹벽(변경)" xfId="1376" xr:uid="{00000000-0005-0000-0000-00005F050000}"/>
    <cellStyle name="_방동_수량산출서_호안공" xfId="1377" xr:uid="{00000000-0005-0000-0000-000060050000}"/>
    <cellStyle name="_방동_수량산출서_호안공_1.역T형옹벽(변경)" xfId="1378" xr:uid="{00000000-0005-0000-0000-000061050000}"/>
    <cellStyle name="_방동_수량산출서_호안공_2.역T형옹벽(변경)" xfId="1379" xr:uid="{00000000-0005-0000-0000-000062050000}"/>
    <cellStyle name="_방동_오항" xfId="1380" xr:uid="{00000000-0005-0000-0000-000063050000}"/>
    <cellStyle name="_방동_오항_1.역T형옹벽(변경)" xfId="1381" xr:uid="{00000000-0005-0000-0000-000064050000}"/>
    <cellStyle name="_방동_오항_1공구수량" xfId="1382" xr:uid="{00000000-0005-0000-0000-000065050000}"/>
    <cellStyle name="_방동_오항_1공구수량_1.역T형옹벽(변경)" xfId="1383" xr:uid="{00000000-0005-0000-0000-000066050000}"/>
    <cellStyle name="_방동_오항_1공구수량_2.역T형옹벽(변경)" xfId="1384" xr:uid="{00000000-0005-0000-0000-000067050000}"/>
    <cellStyle name="_방동_오항_2.역T형옹벽(변경)" xfId="1385" xr:uid="{00000000-0005-0000-0000-000068050000}"/>
    <cellStyle name="_방동_오항_Book1" xfId="1386" xr:uid="{00000000-0005-0000-0000-000069050000}"/>
    <cellStyle name="_방동_오항_Book1_1.역T형옹벽(변경)" xfId="1387" xr:uid="{00000000-0005-0000-0000-00006A050000}"/>
    <cellStyle name="_방동_오항_Book1_2.역T형옹벽(변경)" xfId="1388" xr:uid="{00000000-0005-0000-0000-00006B050000}"/>
    <cellStyle name="_방동_오항_Book1_호안공" xfId="1389" xr:uid="{00000000-0005-0000-0000-00006C050000}"/>
    <cellStyle name="_방동_오항_Book1_호안공_1.역T형옹벽(변경)" xfId="1390" xr:uid="{00000000-0005-0000-0000-00006D050000}"/>
    <cellStyle name="_방동_오항_Book1_호안공_2.역T형옹벽(변경)" xfId="1391" xr:uid="{00000000-0005-0000-0000-00006E050000}"/>
    <cellStyle name="_방동_오항_Book2" xfId="1392" xr:uid="{00000000-0005-0000-0000-00006F050000}"/>
    <cellStyle name="_방동_오항_Book2_1.역T형옹벽(변경)" xfId="1393" xr:uid="{00000000-0005-0000-0000-000070050000}"/>
    <cellStyle name="_방동_오항_Book2_1공구수량" xfId="1394" xr:uid="{00000000-0005-0000-0000-000071050000}"/>
    <cellStyle name="_방동_오항_Book2_1공구수량_1.역T형옹벽(변경)" xfId="1395" xr:uid="{00000000-0005-0000-0000-000072050000}"/>
    <cellStyle name="_방동_오항_Book2_1공구수량_2.역T형옹벽(변경)" xfId="1396" xr:uid="{00000000-0005-0000-0000-000073050000}"/>
    <cellStyle name="_방동_오항_Book2_2.역T형옹벽(변경)" xfId="1397" xr:uid="{00000000-0005-0000-0000-000074050000}"/>
    <cellStyle name="_방동_오항_Book2_깨기수량" xfId="1398" xr:uid="{00000000-0005-0000-0000-000075050000}"/>
    <cellStyle name="_방동_오항_Book2_깨기수량_1.역T형옹벽(변경)" xfId="1399" xr:uid="{00000000-0005-0000-0000-000076050000}"/>
    <cellStyle name="_방동_오항_Book2_깨기수량_2.역T형옹벽(변경)" xfId="1400" xr:uid="{00000000-0005-0000-0000-000077050000}"/>
    <cellStyle name="_방동_오항_Book2_집계표" xfId="1401" xr:uid="{00000000-0005-0000-0000-000078050000}"/>
    <cellStyle name="_방동_오항_Book2_집계표_1.역T형옹벽(변경)" xfId="1402" xr:uid="{00000000-0005-0000-0000-000079050000}"/>
    <cellStyle name="_방동_오항_Book2_집계표_1공구수량" xfId="1403" xr:uid="{00000000-0005-0000-0000-00007A050000}"/>
    <cellStyle name="_방동_오항_Book2_집계표_1공구수량_1.역T형옹벽(변경)" xfId="1404" xr:uid="{00000000-0005-0000-0000-00007B050000}"/>
    <cellStyle name="_방동_오항_Book2_집계표_1공구수량_2.역T형옹벽(변경)" xfId="1405" xr:uid="{00000000-0005-0000-0000-00007C050000}"/>
    <cellStyle name="_방동_오항_Book2_집계표_2.역T형옹벽(변경)" xfId="1406" xr:uid="{00000000-0005-0000-0000-00007D050000}"/>
    <cellStyle name="_방동_오항_Book2_집계표_깨기수량" xfId="1407" xr:uid="{00000000-0005-0000-0000-00007E050000}"/>
    <cellStyle name="_방동_오항_Book2_집계표_깨기수량_1.역T형옹벽(변경)" xfId="1408" xr:uid="{00000000-0005-0000-0000-00007F050000}"/>
    <cellStyle name="_방동_오항_Book2_집계표_깨기수량_2.역T형옹벽(변경)" xfId="1409" xr:uid="{00000000-0005-0000-0000-000080050000}"/>
    <cellStyle name="_방동_오항_Book2_집계표_호안공" xfId="1410" xr:uid="{00000000-0005-0000-0000-000081050000}"/>
    <cellStyle name="_방동_오항_Book2_집계표_호안공_1.역T형옹벽(변경)" xfId="1411" xr:uid="{00000000-0005-0000-0000-000082050000}"/>
    <cellStyle name="_방동_오항_Book2_집계표_호안공_2.역T형옹벽(변경)" xfId="1412" xr:uid="{00000000-0005-0000-0000-000083050000}"/>
    <cellStyle name="_방동_오항_Book2_호안공" xfId="1413" xr:uid="{00000000-0005-0000-0000-000084050000}"/>
    <cellStyle name="_방동_오항_Book2_호안공_1.역T형옹벽(변경)" xfId="1414" xr:uid="{00000000-0005-0000-0000-000085050000}"/>
    <cellStyle name="_방동_오항_Book2_호안공_2.역T형옹벽(변경)" xfId="1415" xr:uid="{00000000-0005-0000-0000-000086050000}"/>
    <cellStyle name="_방동_오항_갈전리2공구수량" xfId="1416" xr:uid="{00000000-0005-0000-0000-000087050000}"/>
    <cellStyle name="_방동_오항_갈전리2공구수량_1.역T형옹벽(변경)" xfId="1417" xr:uid="{00000000-0005-0000-0000-000088050000}"/>
    <cellStyle name="_방동_오항_갈전리2공구수량_1공구수량" xfId="1418" xr:uid="{00000000-0005-0000-0000-000089050000}"/>
    <cellStyle name="_방동_오항_갈전리2공구수량_1공구수량_1.역T형옹벽(변경)" xfId="1419" xr:uid="{00000000-0005-0000-0000-00008A050000}"/>
    <cellStyle name="_방동_오항_갈전리2공구수량_1공구수량_2.역T형옹벽(변경)" xfId="1420" xr:uid="{00000000-0005-0000-0000-00008B050000}"/>
    <cellStyle name="_방동_오항_갈전리2공구수량_2.역T형옹벽(변경)" xfId="1421" xr:uid="{00000000-0005-0000-0000-00008C050000}"/>
    <cellStyle name="_방동_오항_갈전리2공구수량_깨기수량" xfId="1422" xr:uid="{00000000-0005-0000-0000-00008D050000}"/>
    <cellStyle name="_방동_오항_갈전리2공구수량_깨기수량_1.역T형옹벽(변경)" xfId="1423" xr:uid="{00000000-0005-0000-0000-00008E050000}"/>
    <cellStyle name="_방동_오항_갈전리2공구수량_깨기수량_2.역T형옹벽(변경)" xfId="1424" xr:uid="{00000000-0005-0000-0000-00008F050000}"/>
    <cellStyle name="_방동_오항_갈전리2공구수량_호안공" xfId="1425" xr:uid="{00000000-0005-0000-0000-000090050000}"/>
    <cellStyle name="_방동_오항_갈전리2공구수량_호안공_1.역T형옹벽(변경)" xfId="1426" xr:uid="{00000000-0005-0000-0000-000091050000}"/>
    <cellStyle name="_방동_오항_갈전리2공구수량_호안공_2.역T형옹벽(변경)" xfId="1427" xr:uid="{00000000-0005-0000-0000-000092050000}"/>
    <cellStyle name="_방동_오항_깨기" xfId="1428" xr:uid="{00000000-0005-0000-0000-000093050000}"/>
    <cellStyle name="_방동_오항_깨기_1.역T형옹벽(변경)" xfId="1429" xr:uid="{00000000-0005-0000-0000-000094050000}"/>
    <cellStyle name="_방동_오항_깨기_1공구수량" xfId="1430" xr:uid="{00000000-0005-0000-0000-000095050000}"/>
    <cellStyle name="_방동_오항_깨기_1공구수량_1.역T형옹벽(변경)" xfId="1431" xr:uid="{00000000-0005-0000-0000-000096050000}"/>
    <cellStyle name="_방동_오항_깨기_1공구수량_2.역T형옹벽(변경)" xfId="1432" xr:uid="{00000000-0005-0000-0000-000097050000}"/>
    <cellStyle name="_방동_오항_깨기_2.역T형옹벽(변경)" xfId="1433" xr:uid="{00000000-0005-0000-0000-000098050000}"/>
    <cellStyle name="_방동_오항_깨기_깨기수량" xfId="1434" xr:uid="{00000000-0005-0000-0000-000099050000}"/>
    <cellStyle name="_방동_오항_깨기_깨기수량_1.역T형옹벽(변경)" xfId="1435" xr:uid="{00000000-0005-0000-0000-00009A050000}"/>
    <cellStyle name="_방동_오항_깨기_깨기수량_2.역T형옹벽(변경)" xfId="1436" xr:uid="{00000000-0005-0000-0000-00009B050000}"/>
    <cellStyle name="_방동_오항_깨기_호안공" xfId="1437" xr:uid="{00000000-0005-0000-0000-00009C050000}"/>
    <cellStyle name="_방동_오항_깨기_호안공_1.역T형옹벽(변경)" xfId="1438" xr:uid="{00000000-0005-0000-0000-00009D050000}"/>
    <cellStyle name="_방동_오항_깨기_호안공_2.역T형옹벽(변경)" xfId="1439" xr:uid="{00000000-0005-0000-0000-00009E050000}"/>
    <cellStyle name="_방동_오항_깨기수량" xfId="1440" xr:uid="{00000000-0005-0000-0000-00009F050000}"/>
    <cellStyle name="_방동_오항_깨기수량_1.역T형옹벽(변경)" xfId="1441" xr:uid="{00000000-0005-0000-0000-0000A0050000}"/>
    <cellStyle name="_방동_오항_깨기수량_2.역T형옹벽(변경)" xfId="1442" xr:uid="{00000000-0005-0000-0000-0000A1050000}"/>
    <cellStyle name="_방동_오항_수량" xfId="1443" xr:uid="{00000000-0005-0000-0000-0000A2050000}"/>
    <cellStyle name="_방동_오항_수량(말미골천)" xfId="1444" xr:uid="{00000000-0005-0000-0000-0000A3050000}"/>
    <cellStyle name="_방동_오항_수량(말미골천)_1.역T형옹벽(변경)" xfId="1445" xr:uid="{00000000-0005-0000-0000-0000A4050000}"/>
    <cellStyle name="_방동_오항_수량(말미골천)_1공구수량" xfId="1446" xr:uid="{00000000-0005-0000-0000-0000A5050000}"/>
    <cellStyle name="_방동_오항_수량(말미골천)_1공구수량_1.역T형옹벽(변경)" xfId="1447" xr:uid="{00000000-0005-0000-0000-0000A6050000}"/>
    <cellStyle name="_방동_오항_수량(말미골천)_1공구수량_2.역T형옹벽(변경)" xfId="1448" xr:uid="{00000000-0005-0000-0000-0000A7050000}"/>
    <cellStyle name="_방동_오항_수량(말미골천)_2.역T형옹벽(변경)" xfId="1449" xr:uid="{00000000-0005-0000-0000-0000A8050000}"/>
    <cellStyle name="_방동_오항_수량(말미골천)_깨기수량" xfId="1450" xr:uid="{00000000-0005-0000-0000-0000A9050000}"/>
    <cellStyle name="_방동_오항_수량(말미골천)_깨기수량_1.역T형옹벽(변경)" xfId="1451" xr:uid="{00000000-0005-0000-0000-0000AA050000}"/>
    <cellStyle name="_방동_오항_수량(말미골천)_깨기수량_2.역T형옹벽(변경)" xfId="1452" xr:uid="{00000000-0005-0000-0000-0000AB050000}"/>
    <cellStyle name="_방동_오항_수량(말미골천)_호안공" xfId="1453" xr:uid="{00000000-0005-0000-0000-0000AC050000}"/>
    <cellStyle name="_방동_오항_수량(말미골천)_호안공_1.역T형옹벽(변경)" xfId="1454" xr:uid="{00000000-0005-0000-0000-0000AD050000}"/>
    <cellStyle name="_방동_오항_수량(말미골천)_호안공_2.역T형옹벽(변경)" xfId="1455" xr:uid="{00000000-0005-0000-0000-0000AE050000}"/>
    <cellStyle name="_방동_오항_수량_1.역T형옹벽(변경)" xfId="1456" xr:uid="{00000000-0005-0000-0000-0000AF050000}"/>
    <cellStyle name="_방동_오항_수량_1공구수량" xfId="1457" xr:uid="{00000000-0005-0000-0000-0000B0050000}"/>
    <cellStyle name="_방동_오항_수량_1공구수량_1.역T형옹벽(변경)" xfId="1458" xr:uid="{00000000-0005-0000-0000-0000B1050000}"/>
    <cellStyle name="_방동_오항_수량_1공구수량_2.역T형옹벽(변경)" xfId="1459" xr:uid="{00000000-0005-0000-0000-0000B2050000}"/>
    <cellStyle name="_방동_오항_수량_2.역T형옹벽(변경)" xfId="1460" xr:uid="{00000000-0005-0000-0000-0000B3050000}"/>
    <cellStyle name="_방동_오항_수량_깨기수량" xfId="1461" xr:uid="{00000000-0005-0000-0000-0000B4050000}"/>
    <cellStyle name="_방동_오항_수량_깨기수량_1.역T형옹벽(변경)" xfId="1462" xr:uid="{00000000-0005-0000-0000-0000B5050000}"/>
    <cellStyle name="_방동_오항_수량_깨기수량_2.역T형옹벽(변경)" xfId="1463" xr:uid="{00000000-0005-0000-0000-0000B6050000}"/>
    <cellStyle name="_방동_오항_수량_호안공" xfId="1464" xr:uid="{00000000-0005-0000-0000-0000B7050000}"/>
    <cellStyle name="_방동_오항_수량_호안공_1.역T형옹벽(변경)" xfId="1465" xr:uid="{00000000-0005-0000-0000-0000B8050000}"/>
    <cellStyle name="_방동_오항_수량_호안공_2.역T형옹벽(변경)" xfId="1466" xr:uid="{00000000-0005-0000-0000-0000B9050000}"/>
    <cellStyle name="_방동_오항_수량산출서" xfId="1467" xr:uid="{00000000-0005-0000-0000-0000BA050000}"/>
    <cellStyle name="_방동_오항_수량산출서_1.역T형옹벽(변경)" xfId="1468" xr:uid="{00000000-0005-0000-0000-0000BB050000}"/>
    <cellStyle name="_방동_오항_수량산출서_1공구수량" xfId="1469" xr:uid="{00000000-0005-0000-0000-0000BC050000}"/>
    <cellStyle name="_방동_오항_수량산출서_1공구수량_1.역T형옹벽(변경)" xfId="1470" xr:uid="{00000000-0005-0000-0000-0000BD050000}"/>
    <cellStyle name="_방동_오항_수량산출서_1공구수량_2.역T형옹벽(변경)" xfId="1471" xr:uid="{00000000-0005-0000-0000-0000BE050000}"/>
    <cellStyle name="_방동_오항_수량산출서_2.역T형옹벽(변경)" xfId="1472" xr:uid="{00000000-0005-0000-0000-0000BF050000}"/>
    <cellStyle name="_방동_오항_수량산출서_깨기수량" xfId="1473" xr:uid="{00000000-0005-0000-0000-0000C0050000}"/>
    <cellStyle name="_방동_오항_수량산출서_깨기수량_1.역T형옹벽(변경)" xfId="1474" xr:uid="{00000000-0005-0000-0000-0000C1050000}"/>
    <cellStyle name="_방동_오항_수량산출서_깨기수량_2.역T형옹벽(변경)" xfId="1475" xr:uid="{00000000-0005-0000-0000-0000C2050000}"/>
    <cellStyle name="_방동_오항_수량산출서_호안공" xfId="1476" xr:uid="{00000000-0005-0000-0000-0000C3050000}"/>
    <cellStyle name="_방동_오항_수량산출서_호안공_1.역T형옹벽(변경)" xfId="1477" xr:uid="{00000000-0005-0000-0000-0000C4050000}"/>
    <cellStyle name="_방동_오항_수량산출서_호안공_2.역T형옹벽(변경)" xfId="1478" xr:uid="{00000000-0005-0000-0000-0000C5050000}"/>
    <cellStyle name="_방동_오항_집계표" xfId="1479" xr:uid="{00000000-0005-0000-0000-0000C6050000}"/>
    <cellStyle name="_방동_오항_집계표_1.역T형옹벽(변경)" xfId="1480" xr:uid="{00000000-0005-0000-0000-0000C7050000}"/>
    <cellStyle name="_방동_오항_집계표_1공구수량" xfId="1481" xr:uid="{00000000-0005-0000-0000-0000C8050000}"/>
    <cellStyle name="_방동_오항_집계표_1공구수량_1.역T형옹벽(변경)" xfId="1482" xr:uid="{00000000-0005-0000-0000-0000C9050000}"/>
    <cellStyle name="_방동_오항_집계표_1공구수량_2.역T형옹벽(변경)" xfId="1483" xr:uid="{00000000-0005-0000-0000-0000CA050000}"/>
    <cellStyle name="_방동_오항_집계표_2.역T형옹벽(변경)" xfId="1484" xr:uid="{00000000-0005-0000-0000-0000CB050000}"/>
    <cellStyle name="_방동_오항_집계표_깨기수량" xfId="1485" xr:uid="{00000000-0005-0000-0000-0000CC050000}"/>
    <cellStyle name="_방동_오항_집계표_깨기수량_1.역T형옹벽(변경)" xfId="1486" xr:uid="{00000000-0005-0000-0000-0000CD050000}"/>
    <cellStyle name="_방동_오항_집계표_깨기수량_2.역T형옹벽(변경)" xfId="1487" xr:uid="{00000000-0005-0000-0000-0000CE050000}"/>
    <cellStyle name="_방동_오항_집계표_집계표" xfId="1488" xr:uid="{00000000-0005-0000-0000-0000CF050000}"/>
    <cellStyle name="_방동_오항_집계표_집계표_1.역T형옹벽(변경)" xfId="1489" xr:uid="{00000000-0005-0000-0000-0000D0050000}"/>
    <cellStyle name="_방동_오항_집계표_집계표_1공구수량" xfId="1490" xr:uid="{00000000-0005-0000-0000-0000D1050000}"/>
    <cellStyle name="_방동_오항_집계표_집계표_1공구수량_1.역T형옹벽(변경)" xfId="1491" xr:uid="{00000000-0005-0000-0000-0000D2050000}"/>
    <cellStyle name="_방동_오항_집계표_집계표_1공구수량_2.역T형옹벽(변경)" xfId="1492" xr:uid="{00000000-0005-0000-0000-0000D3050000}"/>
    <cellStyle name="_방동_오항_집계표_집계표_2.역T형옹벽(변경)" xfId="1493" xr:uid="{00000000-0005-0000-0000-0000D4050000}"/>
    <cellStyle name="_방동_오항_집계표_집계표_깨기수량" xfId="1494" xr:uid="{00000000-0005-0000-0000-0000D5050000}"/>
    <cellStyle name="_방동_오항_집계표_집계표_깨기수량_1.역T형옹벽(변경)" xfId="1495" xr:uid="{00000000-0005-0000-0000-0000D6050000}"/>
    <cellStyle name="_방동_오항_집계표_집계표_깨기수량_2.역T형옹벽(변경)" xfId="1496" xr:uid="{00000000-0005-0000-0000-0000D7050000}"/>
    <cellStyle name="_방동_오항_집계표_집계표_호안공" xfId="1497" xr:uid="{00000000-0005-0000-0000-0000D8050000}"/>
    <cellStyle name="_방동_오항_집계표_집계표_호안공_1.역T형옹벽(변경)" xfId="1498" xr:uid="{00000000-0005-0000-0000-0000D9050000}"/>
    <cellStyle name="_방동_오항_집계표_집계표_호안공_2.역T형옹벽(변경)" xfId="1499" xr:uid="{00000000-0005-0000-0000-0000DA050000}"/>
    <cellStyle name="_방동_오항_집계표_호안공" xfId="1500" xr:uid="{00000000-0005-0000-0000-0000DB050000}"/>
    <cellStyle name="_방동_오항_집계표_호안공_1.역T형옹벽(변경)" xfId="1501" xr:uid="{00000000-0005-0000-0000-0000DC050000}"/>
    <cellStyle name="_방동_오항_집계표_호안공_2.역T형옹벽(변경)" xfId="1502" xr:uid="{00000000-0005-0000-0000-0000DD050000}"/>
    <cellStyle name="_방동_오항_호안공" xfId="1503" xr:uid="{00000000-0005-0000-0000-0000DE050000}"/>
    <cellStyle name="_방동_오항_호안공_1.역T형옹벽(변경)" xfId="1504" xr:uid="{00000000-0005-0000-0000-0000DF050000}"/>
    <cellStyle name="_방동_오항_호안공_2.역T형옹벽(변경)" xfId="1505" xr:uid="{00000000-0005-0000-0000-0000E0050000}"/>
    <cellStyle name="_방동_오항_호안공_호안공" xfId="1506" xr:uid="{00000000-0005-0000-0000-0000E1050000}"/>
    <cellStyle name="_방동_오항_호안공_호안공_1.역T형옹벽(변경)" xfId="1507" xr:uid="{00000000-0005-0000-0000-0000E2050000}"/>
    <cellStyle name="_방동_오항_호안공_호안공_2.역T형옹벽(변경)" xfId="1508" xr:uid="{00000000-0005-0000-0000-0000E3050000}"/>
    <cellStyle name="_방동_원평" xfId="1509" xr:uid="{00000000-0005-0000-0000-0000E4050000}"/>
    <cellStyle name="_방동_원평_1.역T형옹벽(변경)" xfId="1510" xr:uid="{00000000-0005-0000-0000-0000E5050000}"/>
    <cellStyle name="_방동_원평_1공구수량" xfId="1511" xr:uid="{00000000-0005-0000-0000-0000E6050000}"/>
    <cellStyle name="_방동_원평_1공구수량_1.역T형옹벽(변경)" xfId="1512" xr:uid="{00000000-0005-0000-0000-0000E7050000}"/>
    <cellStyle name="_방동_원평_1공구수량_2.역T형옹벽(변경)" xfId="1513" xr:uid="{00000000-0005-0000-0000-0000E8050000}"/>
    <cellStyle name="_방동_원평_2.역T형옹벽(변경)" xfId="1514" xr:uid="{00000000-0005-0000-0000-0000E9050000}"/>
    <cellStyle name="_방동_원평_Book1" xfId="1515" xr:uid="{00000000-0005-0000-0000-0000EA050000}"/>
    <cellStyle name="_방동_원평_Book1_1.역T형옹벽(변경)" xfId="1516" xr:uid="{00000000-0005-0000-0000-0000EB050000}"/>
    <cellStyle name="_방동_원평_Book1_2.역T형옹벽(변경)" xfId="1517" xr:uid="{00000000-0005-0000-0000-0000EC050000}"/>
    <cellStyle name="_방동_원평_Book1_호안공" xfId="1518" xr:uid="{00000000-0005-0000-0000-0000ED050000}"/>
    <cellStyle name="_방동_원평_Book1_호안공_1.역T형옹벽(변경)" xfId="1519" xr:uid="{00000000-0005-0000-0000-0000EE050000}"/>
    <cellStyle name="_방동_원평_Book1_호안공_2.역T형옹벽(변경)" xfId="1520" xr:uid="{00000000-0005-0000-0000-0000EF050000}"/>
    <cellStyle name="_방동_원평_Book2" xfId="1521" xr:uid="{00000000-0005-0000-0000-0000F0050000}"/>
    <cellStyle name="_방동_원평_Book2_1.역T형옹벽(변경)" xfId="1522" xr:uid="{00000000-0005-0000-0000-0000F1050000}"/>
    <cellStyle name="_방동_원평_Book2_1공구수량" xfId="1523" xr:uid="{00000000-0005-0000-0000-0000F2050000}"/>
    <cellStyle name="_방동_원평_Book2_1공구수량_1.역T형옹벽(변경)" xfId="1524" xr:uid="{00000000-0005-0000-0000-0000F3050000}"/>
    <cellStyle name="_방동_원평_Book2_1공구수량_2.역T형옹벽(변경)" xfId="1525" xr:uid="{00000000-0005-0000-0000-0000F4050000}"/>
    <cellStyle name="_방동_원평_Book2_2.역T형옹벽(변경)" xfId="1526" xr:uid="{00000000-0005-0000-0000-0000F5050000}"/>
    <cellStyle name="_방동_원평_Book2_깨기수량" xfId="1527" xr:uid="{00000000-0005-0000-0000-0000F6050000}"/>
    <cellStyle name="_방동_원평_Book2_깨기수량_1.역T형옹벽(변경)" xfId="1528" xr:uid="{00000000-0005-0000-0000-0000F7050000}"/>
    <cellStyle name="_방동_원평_Book2_깨기수량_2.역T형옹벽(변경)" xfId="1529" xr:uid="{00000000-0005-0000-0000-0000F8050000}"/>
    <cellStyle name="_방동_원평_Book2_집계표" xfId="1530" xr:uid="{00000000-0005-0000-0000-0000F9050000}"/>
    <cellStyle name="_방동_원평_Book2_집계표_1.역T형옹벽(변경)" xfId="1531" xr:uid="{00000000-0005-0000-0000-0000FA050000}"/>
    <cellStyle name="_방동_원평_Book2_집계표_1공구수량" xfId="1532" xr:uid="{00000000-0005-0000-0000-0000FB050000}"/>
    <cellStyle name="_방동_원평_Book2_집계표_1공구수량_1.역T형옹벽(변경)" xfId="1533" xr:uid="{00000000-0005-0000-0000-0000FC050000}"/>
    <cellStyle name="_방동_원평_Book2_집계표_1공구수량_2.역T형옹벽(변경)" xfId="1534" xr:uid="{00000000-0005-0000-0000-0000FD050000}"/>
    <cellStyle name="_방동_원평_Book2_집계표_2.역T형옹벽(변경)" xfId="1535" xr:uid="{00000000-0005-0000-0000-0000FE050000}"/>
    <cellStyle name="_방동_원평_Book2_집계표_깨기수량" xfId="1536" xr:uid="{00000000-0005-0000-0000-0000FF050000}"/>
    <cellStyle name="_방동_원평_Book2_집계표_깨기수량_1.역T형옹벽(변경)" xfId="1537" xr:uid="{00000000-0005-0000-0000-000000060000}"/>
    <cellStyle name="_방동_원평_Book2_집계표_깨기수량_2.역T형옹벽(변경)" xfId="1538" xr:uid="{00000000-0005-0000-0000-000001060000}"/>
    <cellStyle name="_방동_원평_Book2_집계표_호안공" xfId="1539" xr:uid="{00000000-0005-0000-0000-000002060000}"/>
    <cellStyle name="_방동_원평_Book2_집계표_호안공_1.역T형옹벽(변경)" xfId="1540" xr:uid="{00000000-0005-0000-0000-000003060000}"/>
    <cellStyle name="_방동_원평_Book2_집계표_호안공_2.역T형옹벽(변경)" xfId="1541" xr:uid="{00000000-0005-0000-0000-000004060000}"/>
    <cellStyle name="_방동_원평_Book2_호안공" xfId="1542" xr:uid="{00000000-0005-0000-0000-000005060000}"/>
    <cellStyle name="_방동_원평_Book2_호안공_1.역T형옹벽(변경)" xfId="1543" xr:uid="{00000000-0005-0000-0000-000006060000}"/>
    <cellStyle name="_방동_원평_Book2_호안공_2.역T형옹벽(변경)" xfId="1544" xr:uid="{00000000-0005-0000-0000-000007060000}"/>
    <cellStyle name="_방동_원평_갈전리2공구수량" xfId="1545" xr:uid="{00000000-0005-0000-0000-000008060000}"/>
    <cellStyle name="_방동_원평_갈전리2공구수량_1.역T형옹벽(변경)" xfId="1546" xr:uid="{00000000-0005-0000-0000-000009060000}"/>
    <cellStyle name="_방동_원평_갈전리2공구수량_1공구수량" xfId="1547" xr:uid="{00000000-0005-0000-0000-00000A060000}"/>
    <cellStyle name="_방동_원평_갈전리2공구수량_1공구수량_1.역T형옹벽(변경)" xfId="1548" xr:uid="{00000000-0005-0000-0000-00000B060000}"/>
    <cellStyle name="_방동_원평_갈전리2공구수량_1공구수량_2.역T형옹벽(변경)" xfId="1549" xr:uid="{00000000-0005-0000-0000-00000C060000}"/>
    <cellStyle name="_방동_원평_갈전리2공구수량_2.역T형옹벽(변경)" xfId="1550" xr:uid="{00000000-0005-0000-0000-00000D060000}"/>
    <cellStyle name="_방동_원평_갈전리2공구수량_깨기수량" xfId="1551" xr:uid="{00000000-0005-0000-0000-00000E060000}"/>
    <cellStyle name="_방동_원평_갈전리2공구수량_깨기수량_1.역T형옹벽(변경)" xfId="1552" xr:uid="{00000000-0005-0000-0000-00000F060000}"/>
    <cellStyle name="_방동_원평_갈전리2공구수량_깨기수량_2.역T형옹벽(변경)" xfId="1553" xr:uid="{00000000-0005-0000-0000-000010060000}"/>
    <cellStyle name="_방동_원평_갈전리2공구수량_호안공" xfId="1554" xr:uid="{00000000-0005-0000-0000-000011060000}"/>
    <cellStyle name="_방동_원평_갈전리2공구수량_호안공_1.역T형옹벽(변경)" xfId="1555" xr:uid="{00000000-0005-0000-0000-000012060000}"/>
    <cellStyle name="_방동_원평_갈전리2공구수량_호안공_2.역T형옹벽(변경)" xfId="1556" xr:uid="{00000000-0005-0000-0000-000013060000}"/>
    <cellStyle name="_방동_원평_깨기" xfId="1557" xr:uid="{00000000-0005-0000-0000-000014060000}"/>
    <cellStyle name="_방동_원평_깨기_1.역T형옹벽(변경)" xfId="1558" xr:uid="{00000000-0005-0000-0000-000015060000}"/>
    <cellStyle name="_방동_원평_깨기_1공구수량" xfId="1559" xr:uid="{00000000-0005-0000-0000-000016060000}"/>
    <cellStyle name="_방동_원평_깨기_1공구수량_1.역T형옹벽(변경)" xfId="1560" xr:uid="{00000000-0005-0000-0000-000017060000}"/>
    <cellStyle name="_방동_원평_깨기_1공구수량_2.역T형옹벽(변경)" xfId="1561" xr:uid="{00000000-0005-0000-0000-000018060000}"/>
    <cellStyle name="_방동_원평_깨기_2.역T형옹벽(변경)" xfId="1562" xr:uid="{00000000-0005-0000-0000-000019060000}"/>
    <cellStyle name="_방동_원평_깨기_깨기수량" xfId="1563" xr:uid="{00000000-0005-0000-0000-00001A060000}"/>
    <cellStyle name="_방동_원평_깨기_깨기수량_1.역T형옹벽(변경)" xfId="1564" xr:uid="{00000000-0005-0000-0000-00001B060000}"/>
    <cellStyle name="_방동_원평_깨기_깨기수량_2.역T형옹벽(변경)" xfId="1565" xr:uid="{00000000-0005-0000-0000-00001C060000}"/>
    <cellStyle name="_방동_원평_깨기_호안공" xfId="1566" xr:uid="{00000000-0005-0000-0000-00001D060000}"/>
    <cellStyle name="_방동_원평_깨기_호안공_1.역T형옹벽(변경)" xfId="1567" xr:uid="{00000000-0005-0000-0000-00001E060000}"/>
    <cellStyle name="_방동_원평_깨기_호안공_2.역T형옹벽(변경)" xfId="1568" xr:uid="{00000000-0005-0000-0000-00001F060000}"/>
    <cellStyle name="_방동_원평_깨기수량" xfId="1569" xr:uid="{00000000-0005-0000-0000-000020060000}"/>
    <cellStyle name="_방동_원평_깨기수량_1.역T형옹벽(변경)" xfId="1570" xr:uid="{00000000-0005-0000-0000-000021060000}"/>
    <cellStyle name="_방동_원평_깨기수량_2.역T형옹벽(변경)" xfId="1571" xr:uid="{00000000-0005-0000-0000-000022060000}"/>
    <cellStyle name="_방동_원평_수량" xfId="1572" xr:uid="{00000000-0005-0000-0000-000023060000}"/>
    <cellStyle name="_방동_원평_수량(말미골천)" xfId="1573" xr:uid="{00000000-0005-0000-0000-000024060000}"/>
    <cellStyle name="_방동_원평_수량(말미골천)_1.역T형옹벽(변경)" xfId="1574" xr:uid="{00000000-0005-0000-0000-000025060000}"/>
    <cellStyle name="_방동_원평_수량(말미골천)_1공구수량" xfId="1575" xr:uid="{00000000-0005-0000-0000-000026060000}"/>
    <cellStyle name="_방동_원평_수량(말미골천)_1공구수량_1.역T형옹벽(변경)" xfId="1576" xr:uid="{00000000-0005-0000-0000-000027060000}"/>
    <cellStyle name="_방동_원평_수량(말미골천)_1공구수량_2.역T형옹벽(변경)" xfId="1577" xr:uid="{00000000-0005-0000-0000-000028060000}"/>
    <cellStyle name="_방동_원평_수량(말미골천)_2.역T형옹벽(변경)" xfId="1578" xr:uid="{00000000-0005-0000-0000-000029060000}"/>
    <cellStyle name="_방동_원평_수량(말미골천)_깨기수량" xfId="1579" xr:uid="{00000000-0005-0000-0000-00002A060000}"/>
    <cellStyle name="_방동_원평_수량(말미골천)_깨기수량_1.역T형옹벽(변경)" xfId="1580" xr:uid="{00000000-0005-0000-0000-00002B060000}"/>
    <cellStyle name="_방동_원평_수량(말미골천)_깨기수량_2.역T형옹벽(변경)" xfId="1581" xr:uid="{00000000-0005-0000-0000-00002C060000}"/>
    <cellStyle name="_방동_원평_수량(말미골천)_호안공" xfId="1582" xr:uid="{00000000-0005-0000-0000-00002D060000}"/>
    <cellStyle name="_방동_원평_수량(말미골천)_호안공_1.역T형옹벽(변경)" xfId="1583" xr:uid="{00000000-0005-0000-0000-00002E060000}"/>
    <cellStyle name="_방동_원평_수량(말미골천)_호안공_2.역T형옹벽(변경)" xfId="1584" xr:uid="{00000000-0005-0000-0000-00002F060000}"/>
    <cellStyle name="_방동_원평_수량_1.역T형옹벽(변경)" xfId="1585" xr:uid="{00000000-0005-0000-0000-000030060000}"/>
    <cellStyle name="_방동_원평_수량_1공구수량" xfId="1586" xr:uid="{00000000-0005-0000-0000-000031060000}"/>
    <cellStyle name="_방동_원평_수량_1공구수량_1.역T형옹벽(변경)" xfId="1587" xr:uid="{00000000-0005-0000-0000-000032060000}"/>
    <cellStyle name="_방동_원평_수량_1공구수량_2.역T형옹벽(변경)" xfId="1588" xr:uid="{00000000-0005-0000-0000-000033060000}"/>
    <cellStyle name="_방동_원평_수량_2.역T형옹벽(변경)" xfId="1589" xr:uid="{00000000-0005-0000-0000-000034060000}"/>
    <cellStyle name="_방동_원평_수량_깨기수량" xfId="1590" xr:uid="{00000000-0005-0000-0000-000035060000}"/>
    <cellStyle name="_방동_원평_수량_깨기수량_1.역T형옹벽(변경)" xfId="1591" xr:uid="{00000000-0005-0000-0000-000036060000}"/>
    <cellStyle name="_방동_원평_수량_깨기수량_2.역T형옹벽(변경)" xfId="1592" xr:uid="{00000000-0005-0000-0000-000037060000}"/>
    <cellStyle name="_방동_원평_수량_호안공" xfId="1593" xr:uid="{00000000-0005-0000-0000-000038060000}"/>
    <cellStyle name="_방동_원평_수량_호안공_1.역T형옹벽(변경)" xfId="1594" xr:uid="{00000000-0005-0000-0000-000039060000}"/>
    <cellStyle name="_방동_원평_수량_호안공_2.역T형옹벽(변경)" xfId="1595" xr:uid="{00000000-0005-0000-0000-00003A060000}"/>
    <cellStyle name="_방동_원평_수량산출서" xfId="1596" xr:uid="{00000000-0005-0000-0000-00003B060000}"/>
    <cellStyle name="_방동_원평_수량산출서_1.역T형옹벽(변경)" xfId="1597" xr:uid="{00000000-0005-0000-0000-00003C060000}"/>
    <cellStyle name="_방동_원평_수량산출서_1공구수량" xfId="1598" xr:uid="{00000000-0005-0000-0000-00003D060000}"/>
    <cellStyle name="_방동_원평_수량산출서_1공구수량_1.역T형옹벽(변경)" xfId="1599" xr:uid="{00000000-0005-0000-0000-00003E060000}"/>
    <cellStyle name="_방동_원평_수량산출서_1공구수량_2.역T형옹벽(변경)" xfId="1600" xr:uid="{00000000-0005-0000-0000-00003F060000}"/>
    <cellStyle name="_방동_원평_수량산출서_2.역T형옹벽(변경)" xfId="1601" xr:uid="{00000000-0005-0000-0000-000040060000}"/>
    <cellStyle name="_방동_원평_수량산출서_깨기수량" xfId="1602" xr:uid="{00000000-0005-0000-0000-000041060000}"/>
    <cellStyle name="_방동_원평_수량산출서_깨기수량_1.역T형옹벽(변경)" xfId="1603" xr:uid="{00000000-0005-0000-0000-000042060000}"/>
    <cellStyle name="_방동_원평_수량산출서_깨기수량_2.역T형옹벽(변경)" xfId="1604" xr:uid="{00000000-0005-0000-0000-000043060000}"/>
    <cellStyle name="_방동_원평_수량산출서_호안공" xfId="1605" xr:uid="{00000000-0005-0000-0000-000044060000}"/>
    <cellStyle name="_방동_원평_수량산출서_호안공_1.역T형옹벽(변경)" xfId="1606" xr:uid="{00000000-0005-0000-0000-000045060000}"/>
    <cellStyle name="_방동_원평_수량산출서_호안공_2.역T형옹벽(변경)" xfId="1607" xr:uid="{00000000-0005-0000-0000-000046060000}"/>
    <cellStyle name="_방동_원평_집계표" xfId="1608" xr:uid="{00000000-0005-0000-0000-000047060000}"/>
    <cellStyle name="_방동_원평_집계표_1.역T형옹벽(변경)" xfId="1609" xr:uid="{00000000-0005-0000-0000-000048060000}"/>
    <cellStyle name="_방동_원평_집계표_1공구수량" xfId="1610" xr:uid="{00000000-0005-0000-0000-000049060000}"/>
    <cellStyle name="_방동_원평_집계표_1공구수량_1.역T형옹벽(변경)" xfId="1611" xr:uid="{00000000-0005-0000-0000-00004A060000}"/>
    <cellStyle name="_방동_원평_집계표_1공구수량_2.역T형옹벽(변경)" xfId="1612" xr:uid="{00000000-0005-0000-0000-00004B060000}"/>
    <cellStyle name="_방동_원평_집계표_2.역T형옹벽(변경)" xfId="1613" xr:uid="{00000000-0005-0000-0000-00004C060000}"/>
    <cellStyle name="_방동_원평_집계표_깨기수량" xfId="1614" xr:uid="{00000000-0005-0000-0000-00004D060000}"/>
    <cellStyle name="_방동_원평_집계표_깨기수량_1.역T형옹벽(변경)" xfId="1615" xr:uid="{00000000-0005-0000-0000-00004E060000}"/>
    <cellStyle name="_방동_원평_집계표_깨기수량_2.역T형옹벽(변경)" xfId="1616" xr:uid="{00000000-0005-0000-0000-00004F060000}"/>
    <cellStyle name="_방동_원평_집계표_집계표" xfId="1617" xr:uid="{00000000-0005-0000-0000-000050060000}"/>
    <cellStyle name="_방동_원평_집계표_집계표_1.역T형옹벽(변경)" xfId="1618" xr:uid="{00000000-0005-0000-0000-000051060000}"/>
    <cellStyle name="_방동_원평_집계표_집계표_1공구수량" xfId="1619" xr:uid="{00000000-0005-0000-0000-000052060000}"/>
    <cellStyle name="_방동_원평_집계표_집계표_1공구수량_1.역T형옹벽(변경)" xfId="1620" xr:uid="{00000000-0005-0000-0000-000053060000}"/>
    <cellStyle name="_방동_원평_집계표_집계표_1공구수량_2.역T형옹벽(변경)" xfId="1621" xr:uid="{00000000-0005-0000-0000-000054060000}"/>
    <cellStyle name="_방동_원평_집계표_집계표_2.역T형옹벽(변경)" xfId="1622" xr:uid="{00000000-0005-0000-0000-000055060000}"/>
    <cellStyle name="_방동_원평_집계표_집계표_깨기수량" xfId="1623" xr:uid="{00000000-0005-0000-0000-000056060000}"/>
    <cellStyle name="_방동_원평_집계표_집계표_깨기수량_1.역T형옹벽(변경)" xfId="1624" xr:uid="{00000000-0005-0000-0000-000057060000}"/>
    <cellStyle name="_방동_원평_집계표_집계표_깨기수량_2.역T형옹벽(변경)" xfId="1625" xr:uid="{00000000-0005-0000-0000-000058060000}"/>
    <cellStyle name="_방동_원평_집계표_집계표_호안공" xfId="1626" xr:uid="{00000000-0005-0000-0000-000059060000}"/>
    <cellStyle name="_방동_원평_집계표_집계표_호안공_1.역T형옹벽(변경)" xfId="1627" xr:uid="{00000000-0005-0000-0000-00005A060000}"/>
    <cellStyle name="_방동_원평_집계표_집계표_호안공_2.역T형옹벽(변경)" xfId="1628" xr:uid="{00000000-0005-0000-0000-00005B060000}"/>
    <cellStyle name="_방동_원평_집계표_호안공" xfId="1629" xr:uid="{00000000-0005-0000-0000-00005C060000}"/>
    <cellStyle name="_방동_원평_집계표_호안공_1.역T형옹벽(변경)" xfId="1630" xr:uid="{00000000-0005-0000-0000-00005D060000}"/>
    <cellStyle name="_방동_원평_집계표_호안공_2.역T형옹벽(변경)" xfId="1631" xr:uid="{00000000-0005-0000-0000-00005E060000}"/>
    <cellStyle name="_방동_원평_호안공" xfId="1632" xr:uid="{00000000-0005-0000-0000-00005F060000}"/>
    <cellStyle name="_방동_원평_호안공_1.역T형옹벽(변경)" xfId="1633" xr:uid="{00000000-0005-0000-0000-000060060000}"/>
    <cellStyle name="_방동_원평_호안공_2.역T형옹벽(변경)" xfId="1634" xr:uid="{00000000-0005-0000-0000-000061060000}"/>
    <cellStyle name="_방동_원평_호안공_호안공" xfId="1635" xr:uid="{00000000-0005-0000-0000-000062060000}"/>
    <cellStyle name="_방동_원평_호안공_호안공_1.역T형옹벽(변경)" xfId="1636" xr:uid="{00000000-0005-0000-0000-000063060000}"/>
    <cellStyle name="_방동_원평_호안공_호안공_2.역T형옹벽(변경)" xfId="1637" xr:uid="{00000000-0005-0000-0000-000064060000}"/>
    <cellStyle name="_방동_집계표" xfId="1638" xr:uid="{00000000-0005-0000-0000-000065060000}"/>
    <cellStyle name="_방동_집계표_1.역T형옹벽(변경)" xfId="1639" xr:uid="{00000000-0005-0000-0000-000066060000}"/>
    <cellStyle name="_방동_집계표_1공구수량" xfId="1640" xr:uid="{00000000-0005-0000-0000-000067060000}"/>
    <cellStyle name="_방동_집계표_1공구수량_1.역T형옹벽(변경)" xfId="1641" xr:uid="{00000000-0005-0000-0000-000068060000}"/>
    <cellStyle name="_방동_집계표_1공구수량_2.역T형옹벽(변경)" xfId="1642" xr:uid="{00000000-0005-0000-0000-000069060000}"/>
    <cellStyle name="_방동_집계표_2.역T형옹벽(변경)" xfId="1643" xr:uid="{00000000-0005-0000-0000-00006A060000}"/>
    <cellStyle name="_방동_집계표_깨기수량" xfId="1644" xr:uid="{00000000-0005-0000-0000-00006B060000}"/>
    <cellStyle name="_방동_집계표_깨기수량_1.역T형옹벽(변경)" xfId="1645" xr:uid="{00000000-0005-0000-0000-00006C060000}"/>
    <cellStyle name="_방동_집계표_깨기수량_2.역T형옹벽(변경)" xfId="1646" xr:uid="{00000000-0005-0000-0000-00006D060000}"/>
    <cellStyle name="_방동_집계표_집계표" xfId="1647" xr:uid="{00000000-0005-0000-0000-00006E060000}"/>
    <cellStyle name="_방동_집계표_집계표_1.역T형옹벽(변경)" xfId="1648" xr:uid="{00000000-0005-0000-0000-00006F060000}"/>
    <cellStyle name="_방동_집계표_집계표_1공구수량" xfId="1649" xr:uid="{00000000-0005-0000-0000-000070060000}"/>
    <cellStyle name="_방동_집계표_집계표_1공구수량_1.역T형옹벽(변경)" xfId="1650" xr:uid="{00000000-0005-0000-0000-000071060000}"/>
    <cellStyle name="_방동_집계표_집계표_1공구수량_2.역T형옹벽(변경)" xfId="1651" xr:uid="{00000000-0005-0000-0000-000072060000}"/>
    <cellStyle name="_방동_집계표_집계표_2.역T형옹벽(변경)" xfId="1652" xr:uid="{00000000-0005-0000-0000-000073060000}"/>
    <cellStyle name="_방동_집계표_집계표_깨기수량" xfId="1653" xr:uid="{00000000-0005-0000-0000-000074060000}"/>
    <cellStyle name="_방동_집계표_집계표_깨기수량_1.역T형옹벽(변경)" xfId="1654" xr:uid="{00000000-0005-0000-0000-000075060000}"/>
    <cellStyle name="_방동_집계표_집계표_깨기수량_2.역T형옹벽(변경)" xfId="1655" xr:uid="{00000000-0005-0000-0000-000076060000}"/>
    <cellStyle name="_방동_집계표_집계표_호안공" xfId="1656" xr:uid="{00000000-0005-0000-0000-000077060000}"/>
    <cellStyle name="_방동_집계표_집계표_호안공_1.역T형옹벽(변경)" xfId="1657" xr:uid="{00000000-0005-0000-0000-000078060000}"/>
    <cellStyle name="_방동_집계표_집계표_호안공_2.역T형옹벽(변경)" xfId="1658" xr:uid="{00000000-0005-0000-0000-000079060000}"/>
    <cellStyle name="_방동_집계표_호안공" xfId="1659" xr:uid="{00000000-0005-0000-0000-00007A060000}"/>
    <cellStyle name="_방동_집계표_호안공_1.역T형옹벽(변경)" xfId="1660" xr:uid="{00000000-0005-0000-0000-00007B060000}"/>
    <cellStyle name="_방동_집계표_호안공_2.역T형옹벽(변경)" xfId="1661" xr:uid="{00000000-0005-0000-0000-00007C060000}"/>
    <cellStyle name="_방동_추곡" xfId="1662" xr:uid="{00000000-0005-0000-0000-00007D060000}"/>
    <cellStyle name="_방동_추곡_1.역T형옹벽(변경)" xfId="1663" xr:uid="{00000000-0005-0000-0000-00007E060000}"/>
    <cellStyle name="_방동_추곡_1공구수량" xfId="1664" xr:uid="{00000000-0005-0000-0000-00007F060000}"/>
    <cellStyle name="_방동_추곡_1공구수량_1.역T형옹벽(변경)" xfId="1665" xr:uid="{00000000-0005-0000-0000-000080060000}"/>
    <cellStyle name="_방동_추곡_1공구수량_2.역T형옹벽(변경)" xfId="1666" xr:uid="{00000000-0005-0000-0000-000081060000}"/>
    <cellStyle name="_방동_추곡_2.역T형옹벽(변경)" xfId="1667" xr:uid="{00000000-0005-0000-0000-000082060000}"/>
    <cellStyle name="_방동_추곡_Book1" xfId="1668" xr:uid="{00000000-0005-0000-0000-000083060000}"/>
    <cellStyle name="_방동_추곡_Book1_1.역T형옹벽(변경)" xfId="1669" xr:uid="{00000000-0005-0000-0000-000084060000}"/>
    <cellStyle name="_방동_추곡_Book1_2.역T형옹벽(변경)" xfId="1670" xr:uid="{00000000-0005-0000-0000-000085060000}"/>
    <cellStyle name="_방동_추곡_Book1_호안공" xfId="1671" xr:uid="{00000000-0005-0000-0000-000086060000}"/>
    <cellStyle name="_방동_추곡_Book1_호안공_1.역T형옹벽(변경)" xfId="1672" xr:uid="{00000000-0005-0000-0000-000087060000}"/>
    <cellStyle name="_방동_추곡_Book1_호안공_2.역T형옹벽(변경)" xfId="1673" xr:uid="{00000000-0005-0000-0000-000088060000}"/>
    <cellStyle name="_방동_추곡_Book2" xfId="1674" xr:uid="{00000000-0005-0000-0000-000089060000}"/>
    <cellStyle name="_방동_추곡_Book2_1.역T형옹벽(변경)" xfId="1675" xr:uid="{00000000-0005-0000-0000-00008A060000}"/>
    <cellStyle name="_방동_추곡_Book2_1공구수량" xfId="1676" xr:uid="{00000000-0005-0000-0000-00008B060000}"/>
    <cellStyle name="_방동_추곡_Book2_1공구수량_1.역T형옹벽(변경)" xfId="1677" xr:uid="{00000000-0005-0000-0000-00008C060000}"/>
    <cellStyle name="_방동_추곡_Book2_1공구수량_2.역T형옹벽(변경)" xfId="1678" xr:uid="{00000000-0005-0000-0000-00008D060000}"/>
    <cellStyle name="_방동_추곡_Book2_2.역T형옹벽(변경)" xfId="1679" xr:uid="{00000000-0005-0000-0000-00008E060000}"/>
    <cellStyle name="_방동_추곡_Book2_깨기수량" xfId="1680" xr:uid="{00000000-0005-0000-0000-00008F060000}"/>
    <cellStyle name="_방동_추곡_Book2_깨기수량_1.역T형옹벽(변경)" xfId="1681" xr:uid="{00000000-0005-0000-0000-000090060000}"/>
    <cellStyle name="_방동_추곡_Book2_깨기수량_2.역T형옹벽(변경)" xfId="1682" xr:uid="{00000000-0005-0000-0000-000091060000}"/>
    <cellStyle name="_방동_추곡_Book2_집계표" xfId="1683" xr:uid="{00000000-0005-0000-0000-000092060000}"/>
    <cellStyle name="_방동_추곡_Book2_집계표_1.역T형옹벽(변경)" xfId="1684" xr:uid="{00000000-0005-0000-0000-000093060000}"/>
    <cellStyle name="_방동_추곡_Book2_집계표_1공구수량" xfId="1685" xr:uid="{00000000-0005-0000-0000-000094060000}"/>
    <cellStyle name="_방동_추곡_Book2_집계표_1공구수량_1.역T형옹벽(변경)" xfId="1686" xr:uid="{00000000-0005-0000-0000-000095060000}"/>
    <cellStyle name="_방동_추곡_Book2_집계표_1공구수량_2.역T형옹벽(변경)" xfId="1687" xr:uid="{00000000-0005-0000-0000-000096060000}"/>
    <cellStyle name="_방동_추곡_Book2_집계표_2.역T형옹벽(변경)" xfId="1688" xr:uid="{00000000-0005-0000-0000-000097060000}"/>
    <cellStyle name="_방동_추곡_Book2_집계표_깨기수량" xfId="1689" xr:uid="{00000000-0005-0000-0000-000098060000}"/>
    <cellStyle name="_방동_추곡_Book2_집계표_깨기수량_1.역T형옹벽(변경)" xfId="1690" xr:uid="{00000000-0005-0000-0000-000099060000}"/>
    <cellStyle name="_방동_추곡_Book2_집계표_깨기수량_2.역T형옹벽(변경)" xfId="1691" xr:uid="{00000000-0005-0000-0000-00009A060000}"/>
    <cellStyle name="_방동_추곡_Book2_집계표_호안공" xfId="1692" xr:uid="{00000000-0005-0000-0000-00009B060000}"/>
    <cellStyle name="_방동_추곡_Book2_집계표_호안공_1.역T형옹벽(변경)" xfId="1693" xr:uid="{00000000-0005-0000-0000-00009C060000}"/>
    <cellStyle name="_방동_추곡_Book2_집계표_호안공_2.역T형옹벽(변경)" xfId="1694" xr:uid="{00000000-0005-0000-0000-00009D060000}"/>
    <cellStyle name="_방동_추곡_Book2_호안공" xfId="1695" xr:uid="{00000000-0005-0000-0000-00009E060000}"/>
    <cellStyle name="_방동_추곡_Book2_호안공_1.역T형옹벽(변경)" xfId="1696" xr:uid="{00000000-0005-0000-0000-00009F060000}"/>
    <cellStyle name="_방동_추곡_Book2_호안공_2.역T형옹벽(변경)" xfId="1697" xr:uid="{00000000-0005-0000-0000-0000A0060000}"/>
    <cellStyle name="_방동_추곡_갈전리2공구수량" xfId="1698" xr:uid="{00000000-0005-0000-0000-0000A1060000}"/>
    <cellStyle name="_방동_추곡_갈전리2공구수량_1.역T형옹벽(변경)" xfId="1699" xr:uid="{00000000-0005-0000-0000-0000A2060000}"/>
    <cellStyle name="_방동_추곡_갈전리2공구수량_1공구수량" xfId="1700" xr:uid="{00000000-0005-0000-0000-0000A3060000}"/>
    <cellStyle name="_방동_추곡_갈전리2공구수량_1공구수량_1.역T형옹벽(변경)" xfId="1701" xr:uid="{00000000-0005-0000-0000-0000A4060000}"/>
    <cellStyle name="_방동_추곡_갈전리2공구수량_1공구수량_2.역T형옹벽(변경)" xfId="1702" xr:uid="{00000000-0005-0000-0000-0000A5060000}"/>
    <cellStyle name="_방동_추곡_갈전리2공구수량_2.역T형옹벽(변경)" xfId="1703" xr:uid="{00000000-0005-0000-0000-0000A6060000}"/>
    <cellStyle name="_방동_추곡_갈전리2공구수량_깨기수량" xfId="1704" xr:uid="{00000000-0005-0000-0000-0000A7060000}"/>
    <cellStyle name="_방동_추곡_갈전리2공구수량_깨기수량_1.역T형옹벽(변경)" xfId="1705" xr:uid="{00000000-0005-0000-0000-0000A8060000}"/>
    <cellStyle name="_방동_추곡_갈전리2공구수량_깨기수량_2.역T형옹벽(변경)" xfId="1706" xr:uid="{00000000-0005-0000-0000-0000A9060000}"/>
    <cellStyle name="_방동_추곡_갈전리2공구수량_호안공" xfId="1707" xr:uid="{00000000-0005-0000-0000-0000AA060000}"/>
    <cellStyle name="_방동_추곡_갈전리2공구수량_호안공_1.역T형옹벽(변경)" xfId="1708" xr:uid="{00000000-0005-0000-0000-0000AB060000}"/>
    <cellStyle name="_방동_추곡_갈전리2공구수량_호안공_2.역T형옹벽(변경)" xfId="1709" xr:uid="{00000000-0005-0000-0000-0000AC060000}"/>
    <cellStyle name="_방동_추곡_깨기" xfId="1710" xr:uid="{00000000-0005-0000-0000-0000AD060000}"/>
    <cellStyle name="_방동_추곡_깨기_1.역T형옹벽(변경)" xfId="1711" xr:uid="{00000000-0005-0000-0000-0000AE060000}"/>
    <cellStyle name="_방동_추곡_깨기_1공구수량" xfId="1712" xr:uid="{00000000-0005-0000-0000-0000AF060000}"/>
    <cellStyle name="_방동_추곡_깨기_1공구수량_1.역T형옹벽(변경)" xfId="1713" xr:uid="{00000000-0005-0000-0000-0000B0060000}"/>
    <cellStyle name="_방동_추곡_깨기_1공구수량_2.역T형옹벽(변경)" xfId="1714" xr:uid="{00000000-0005-0000-0000-0000B1060000}"/>
    <cellStyle name="_방동_추곡_깨기_2.역T형옹벽(변경)" xfId="1715" xr:uid="{00000000-0005-0000-0000-0000B2060000}"/>
    <cellStyle name="_방동_추곡_깨기_깨기수량" xfId="1716" xr:uid="{00000000-0005-0000-0000-0000B3060000}"/>
    <cellStyle name="_방동_추곡_깨기_깨기수량_1.역T형옹벽(변경)" xfId="1717" xr:uid="{00000000-0005-0000-0000-0000B4060000}"/>
    <cellStyle name="_방동_추곡_깨기_깨기수량_2.역T형옹벽(변경)" xfId="1718" xr:uid="{00000000-0005-0000-0000-0000B5060000}"/>
    <cellStyle name="_방동_추곡_깨기_호안공" xfId="1719" xr:uid="{00000000-0005-0000-0000-0000B6060000}"/>
    <cellStyle name="_방동_추곡_깨기_호안공_1.역T형옹벽(변경)" xfId="1720" xr:uid="{00000000-0005-0000-0000-0000B7060000}"/>
    <cellStyle name="_방동_추곡_깨기_호안공_2.역T형옹벽(변경)" xfId="1721" xr:uid="{00000000-0005-0000-0000-0000B8060000}"/>
    <cellStyle name="_방동_추곡_깨기수량" xfId="1722" xr:uid="{00000000-0005-0000-0000-0000B9060000}"/>
    <cellStyle name="_방동_추곡_깨기수량_1.역T형옹벽(변경)" xfId="1723" xr:uid="{00000000-0005-0000-0000-0000BA060000}"/>
    <cellStyle name="_방동_추곡_깨기수량_2.역T형옹벽(변경)" xfId="1724" xr:uid="{00000000-0005-0000-0000-0000BB060000}"/>
    <cellStyle name="_방동_추곡_수량" xfId="1725" xr:uid="{00000000-0005-0000-0000-0000BC060000}"/>
    <cellStyle name="_방동_추곡_수량(말미골천)" xfId="1726" xr:uid="{00000000-0005-0000-0000-0000BD060000}"/>
    <cellStyle name="_방동_추곡_수량(말미골천)_1.역T형옹벽(변경)" xfId="1727" xr:uid="{00000000-0005-0000-0000-0000BE060000}"/>
    <cellStyle name="_방동_추곡_수량(말미골천)_1공구수량" xfId="1728" xr:uid="{00000000-0005-0000-0000-0000BF060000}"/>
    <cellStyle name="_방동_추곡_수량(말미골천)_1공구수량_1.역T형옹벽(변경)" xfId="1729" xr:uid="{00000000-0005-0000-0000-0000C0060000}"/>
    <cellStyle name="_방동_추곡_수량(말미골천)_1공구수량_2.역T형옹벽(변경)" xfId="1730" xr:uid="{00000000-0005-0000-0000-0000C1060000}"/>
    <cellStyle name="_방동_추곡_수량(말미골천)_2.역T형옹벽(변경)" xfId="1731" xr:uid="{00000000-0005-0000-0000-0000C2060000}"/>
    <cellStyle name="_방동_추곡_수량(말미골천)_깨기수량" xfId="1732" xr:uid="{00000000-0005-0000-0000-0000C3060000}"/>
    <cellStyle name="_방동_추곡_수량(말미골천)_깨기수량_1.역T형옹벽(변경)" xfId="1733" xr:uid="{00000000-0005-0000-0000-0000C4060000}"/>
    <cellStyle name="_방동_추곡_수량(말미골천)_깨기수량_2.역T형옹벽(변경)" xfId="1734" xr:uid="{00000000-0005-0000-0000-0000C5060000}"/>
    <cellStyle name="_방동_추곡_수량(말미골천)_호안공" xfId="1735" xr:uid="{00000000-0005-0000-0000-0000C6060000}"/>
    <cellStyle name="_방동_추곡_수량(말미골천)_호안공_1.역T형옹벽(변경)" xfId="1736" xr:uid="{00000000-0005-0000-0000-0000C7060000}"/>
    <cellStyle name="_방동_추곡_수량(말미골천)_호안공_2.역T형옹벽(변경)" xfId="1737" xr:uid="{00000000-0005-0000-0000-0000C8060000}"/>
    <cellStyle name="_방동_추곡_수량_1.역T형옹벽(변경)" xfId="1738" xr:uid="{00000000-0005-0000-0000-0000C9060000}"/>
    <cellStyle name="_방동_추곡_수량_1공구수량" xfId="1739" xr:uid="{00000000-0005-0000-0000-0000CA060000}"/>
    <cellStyle name="_방동_추곡_수량_1공구수량_1.역T형옹벽(변경)" xfId="1740" xr:uid="{00000000-0005-0000-0000-0000CB060000}"/>
    <cellStyle name="_방동_추곡_수량_1공구수량_2.역T형옹벽(변경)" xfId="1741" xr:uid="{00000000-0005-0000-0000-0000CC060000}"/>
    <cellStyle name="_방동_추곡_수량_2.역T형옹벽(변경)" xfId="1742" xr:uid="{00000000-0005-0000-0000-0000CD060000}"/>
    <cellStyle name="_방동_추곡_수량_깨기수량" xfId="1743" xr:uid="{00000000-0005-0000-0000-0000CE060000}"/>
    <cellStyle name="_방동_추곡_수량_깨기수량_1.역T형옹벽(변경)" xfId="1744" xr:uid="{00000000-0005-0000-0000-0000CF060000}"/>
    <cellStyle name="_방동_추곡_수량_깨기수량_2.역T형옹벽(변경)" xfId="1745" xr:uid="{00000000-0005-0000-0000-0000D0060000}"/>
    <cellStyle name="_방동_추곡_수량_호안공" xfId="1746" xr:uid="{00000000-0005-0000-0000-0000D1060000}"/>
    <cellStyle name="_방동_추곡_수량_호안공_1.역T형옹벽(변경)" xfId="1747" xr:uid="{00000000-0005-0000-0000-0000D2060000}"/>
    <cellStyle name="_방동_추곡_수량_호안공_2.역T형옹벽(변경)" xfId="1748" xr:uid="{00000000-0005-0000-0000-0000D3060000}"/>
    <cellStyle name="_방동_추곡_수량산출서" xfId="1749" xr:uid="{00000000-0005-0000-0000-0000D4060000}"/>
    <cellStyle name="_방동_추곡_수량산출서_1.역T형옹벽(변경)" xfId="1750" xr:uid="{00000000-0005-0000-0000-0000D5060000}"/>
    <cellStyle name="_방동_추곡_수량산출서_1공구수량" xfId="1751" xr:uid="{00000000-0005-0000-0000-0000D6060000}"/>
    <cellStyle name="_방동_추곡_수량산출서_1공구수량_1.역T형옹벽(변경)" xfId="1752" xr:uid="{00000000-0005-0000-0000-0000D7060000}"/>
    <cellStyle name="_방동_추곡_수량산출서_1공구수량_2.역T형옹벽(변경)" xfId="1753" xr:uid="{00000000-0005-0000-0000-0000D8060000}"/>
    <cellStyle name="_방동_추곡_수량산출서_2.역T형옹벽(변경)" xfId="1754" xr:uid="{00000000-0005-0000-0000-0000D9060000}"/>
    <cellStyle name="_방동_추곡_수량산출서_깨기수량" xfId="1755" xr:uid="{00000000-0005-0000-0000-0000DA060000}"/>
    <cellStyle name="_방동_추곡_수량산출서_깨기수량_1.역T형옹벽(변경)" xfId="1756" xr:uid="{00000000-0005-0000-0000-0000DB060000}"/>
    <cellStyle name="_방동_추곡_수량산출서_깨기수량_2.역T형옹벽(변경)" xfId="1757" xr:uid="{00000000-0005-0000-0000-0000DC060000}"/>
    <cellStyle name="_방동_추곡_수량산출서_호안공" xfId="1758" xr:uid="{00000000-0005-0000-0000-0000DD060000}"/>
    <cellStyle name="_방동_추곡_수량산출서_호안공_1.역T형옹벽(변경)" xfId="1759" xr:uid="{00000000-0005-0000-0000-0000DE060000}"/>
    <cellStyle name="_방동_추곡_수량산출서_호안공_2.역T형옹벽(변경)" xfId="1760" xr:uid="{00000000-0005-0000-0000-0000DF060000}"/>
    <cellStyle name="_방동_추곡_집계표" xfId="1761" xr:uid="{00000000-0005-0000-0000-0000E0060000}"/>
    <cellStyle name="_방동_추곡_집계표_1.역T형옹벽(변경)" xfId="1762" xr:uid="{00000000-0005-0000-0000-0000E1060000}"/>
    <cellStyle name="_방동_추곡_집계표_1공구수량" xfId="1763" xr:uid="{00000000-0005-0000-0000-0000E2060000}"/>
    <cellStyle name="_방동_추곡_집계표_1공구수량_1.역T형옹벽(변경)" xfId="1764" xr:uid="{00000000-0005-0000-0000-0000E3060000}"/>
    <cellStyle name="_방동_추곡_집계표_1공구수량_2.역T형옹벽(변경)" xfId="1765" xr:uid="{00000000-0005-0000-0000-0000E4060000}"/>
    <cellStyle name="_방동_추곡_집계표_2.역T형옹벽(변경)" xfId="1766" xr:uid="{00000000-0005-0000-0000-0000E5060000}"/>
    <cellStyle name="_방동_추곡_집계표_깨기수량" xfId="1767" xr:uid="{00000000-0005-0000-0000-0000E6060000}"/>
    <cellStyle name="_방동_추곡_집계표_깨기수량_1.역T형옹벽(변경)" xfId="1768" xr:uid="{00000000-0005-0000-0000-0000E7060000}"/>
    <cellStyle name="_방동_추곡_집계표_깨기수량_2.역T형옹벽(변경)" xfId="1769" xr:uid="{00000000-0005-0000-0000-0000E8060000}"/>
    <cellStyle name="_방동_추곡_집계표_집계표" xfId="1770" xr:uid="{00000000-0005-0000-0000-0000E9060000}"/>
    <cellStyle name="_방동_추곡_집계표_집계표_1.역T형옹벽(변경)" xfId="1771" xr:uid="{00000000-0005-0000-0000-0000EA060000}"/>
    <cellStyle name="_방동_추곡_집계표_집계표_1공구수량" xfId="1772" xr:uid="{00000000-0005-0000-0000-0000EB060000}"/>
    <cellStyle name="_방동_추곡_집계표_집계표_1공구수량_1.역T형옹벽(변경)" xfId="1773" xr:uid="{00000000-0005-0000-0000-0000EC060000}"/>
    <cellStyle name="_방동_추곡_집계표_집계표_1공구수량_2.역T형옹벽(변경)" xfId="1774" xr:uid="{00000000-0005-0000-0000-0000ED060000}"/>
    <cellStyle name="_방동_추곡_집계표_집계표_2.역T형옹벽(변경)" xfId="1775" xr:uid="{00000000-0005-0000-0000-0000EE060000}"/>
    <cellStyle name="_방동_추곡_집계표_집계표_깨기수량" xfId="1776" xr:uid="{00000000-0005-0000-0000-0000EF060000}"/>
    <cellStyle name="_방동_추곡_집계표_집계표_깨기수량_1.역T형옹벽(변경)" xfId="1777" xr:uid="{00000000-0005-0000-0000-0000F0060000}"/>
    <cellStyle name="_방동_추곡_집계표_집계표_깨기수량_2.역T형옹벽(변경)" xfId="1778" xr:uid="{00000000-0005-0000-0000-0000F1060000}"/>
    <cellStyle name="_방동_추곡_집계표_집계표_호안공" xfId="1779" xr:uid="{00000000-0005-0000-0000-0000F2060000}"/>
    <cellStyle name="_방동_추곡_집계표_집계표_호안공_1.역T형옹벽(변경)" xfId="1780" xr:uid="{00000000-0005-0000-0000-0000F3060000}"/>
    <cellStyle name="_방동_추곡_집계표_집계표_호안공_2.역T형옹벽(변경)" xfId="1781" xr:uid="{00000000-0005-0000-0000-0000F4060000}"/>
    <cellStyle name="_방동_추곡_집계표_호안공" xfId="1782" xr:uid="{00000000-0005-0000-0000-0000F5060000}"/>
    <cellStyle name="_방동_추곡_집계표_호안공_1.역T형옹벽(변경)" xfId="1783" xr:uid="{00000000-0005-0000-0000-0000F6060000}"/>
    <cellStyle name="_방동_추곡_집계표_호안공_2.역T형옹벽(변경)" xfId="1784" xr:uid="{00000000-0005-0000-0000-0000F7060000}"/>
    <cellStyle name="_방동_추곡_호안공" xfId="1785" xr:uid="{00000000-0005-0000-0000-0000F8060000}"/>
    <cellStyle name="_방동_추곡_호안공_1.역T형옹벽(변경)" xfId="1786" xr:uid="{00000000-0005-0000-0000-0000F9060000}"/>
    <cellStyle name="_방동_추곡_호안공_2.역T형옹벽(변경)" xfId="1787" xr:uid="{00000000-0005-0000-0000-0000FA060000}"/>
    <cellStyle name="_방동_추곡_호안공_호안공" xfId="1788" xr:uid="{00000000-0005-0000-0000-0000FB060000}"/>
    <cellStyle name="_방동_추곡_호안공_호안공_1.역T형옹벽(변경)" xfId="1789" xr:uid="{00000000-0005-0000-0000-0000FC060000}"/>
    <cellStyle name="_방동_추곡_호안공_호안공_2.역T형옹벽(변경)" xfId="1790" xr:uid="{00000000-0005-0000-0000-0000FD060000}"/>
    <cellStyle name="_방동_호안공" xfId="1791" xr:uid="{00000000-0005-0000-0000-0000FE060000}"/>
    <cellStyle name="_방동_호안공_1.역T형옹벽(변경)" xfId="1792" xr:uid="{00000000-0005-0000-0000-0000FF060000}"/>
    <cellStyle name="_방동_호안공_2.역T형옹벽(변경)" xfId="1793" xr:uid="{00000000-0005-0000-0000-000000070000}"/>
    <cellStyle name="_방동_호안공_호안공" xfId="1794" xr:uid="{00000000-0005-0000-0000-000001070000}"/>
    <cellStyle name="_방동_호안공_호안공_1.역T형옹벽(변경)" xfId="1795" xr:uid="{00000000-0005-0000-0000-000002070000}"/>
    <cellStyle name="_방동_호안공_호안공_2.역T형옹벽(변경)" xfId="1796" xr:uid="{00000000-0005-0000-0000-000003070000}"/>
    <cellStyle name="_방죽, 원내 어린이공원(최종)" xfId="1797" xr:uid="{00000000-0005-0000-0000-000004070000}"/>
    <cellStyle name="_사각파고라" xfId="1798" xr:uid="{00000000-0005-0000-0000-000005070000}"/>
    <cellStyle name="_사유서" xfId="1799" xr:uid="{00000000-0005-0000-0000-000006070000}"/>
    <cellStyle name="_사유서_내역서" xfId="1800" xr:uid="{00000000-0005-0000-0000-000007070000}"/>
    <cellStyle name="_수량" xfId="1801" xr:uid="{00000000-0005-0000-0000-000008070000}"/>
    <cellStyle name="_수량(말미골천)" xfId="1802" xr:uid="{00000000-0005-0000-0000-000009070000}"/>
    <cellStyle name="_수량(말미골천)_1.역T형옹벽(변경)" xfId="1803" xr:uid="{00000000-0005-0000-0000-00000A070000}"/>
    <cellStyle name="_수량(말미골천)_1공구수량" xfId="1804" xr:uid="{00000000-0005-0000-0000-00000B070000}"/>
    <cellStyle name="_수량(말미골천)_1공구수량_1.역T형옹벽(변경)" xfId="1805" xr:uid="{00000000-0005-0000-0000-00000C070000}"/>
    <cellStyle name="_수량(말미골천)_1공구수량_2.역T형옹벽(변경)" xfId="1806" xr:uid="{00000000-0005-0000-0000-00000D070000}"/>
    <cellStyle name="_수량(말미골천)_2.역T형옹벽(변경)" xfId="1807" xr:uid="{00000000-0005-0000-0000-00000E070000}"/>
    <cellStyle name="_수량(말미골천)_깨기수량" xfId="1808" xr:uid="{00000000-0005-0000-0000-00000F070000}"/>
    <cellStyle name="_수량(말미골천)_깨기수량_1.역T형옹벽(변경)" xfId="1809" xr:uid="{00000000-0005-0000-0000-000010070000}"/>
    <cellStyle name="_수량(말미골천)_깨기수량_2.역T형옹벽(변경)" xfId="1810" xr:uid="{00000000-0005-0000-0000-000011070000}"/>
    <cellStyle name="_수량(말미골천)_호안공" xfId="1811" xr:uid="{00000000-0005-0000-0000-000012070000}"/>
    <cellStyle name="_수량(말미골천)_호안공_1.역T형옹벽(변경)" xfId="1812" xr:uid="{00000000-0005-0000-0000-000013070000}"/>
    <cellStyle name="_수량(말미골천)_호안공_2.역T형옹벽(변경)" xfId="1813" xr:uid="{00000000-0005-0000-0000-000014070000}"/>
    <cellStyle name="_수량_1.역T형옹벽(변경)" xfId="1814" xr:uid="{00000000-0005-0000-0000-000015070000}"/>
    <cellStyle name="_수량_1공구수량" xfId="1815" xr:uid="{00000000-0005-0000-0000-000016070000}"/>
    <cellStyle name="_수량_1공구수량_1.역T형옹벽(변경)" xfId="1816" xr:uid="{00000000-0005-0000-0000-000017070000}"/>
    <cellStyle name="_수량_1공구수량_2.역T형옹벽(변경)" xfId="1817" xr:uid="{00000000-0005-0000-0000-000018070000}"/>
    <cellStyle name="_수량_2.역T형옹벽(변경)" xfId="1818" xr:uid="{00000000-0005-0000-0000-000019070000}"/>
    <cellStyle name="_수량_깨기수량" xfId="1819" xr:uid="{00000000-0005-0000-0000-00001A070000}"/>
    <cellStyle name="_수량_깨기수량_1.역T형옹벽(변경)" xfId="1820" xr:uid="{00000000-0005-0000-0000-00001B070000}"/>
    <cellStyle name="_수량_깨기수량_2.역T형옹벽(변경)" xfId="1821" xr:uid="{00000000-0005-0000-0000-00001C070000}"/>
    <cellStyle name="_수량_호안공" xfId="1822" xr:uid="{00000000-0005-0000-0000-00001D070000}"/>
    <cellStyle name="_수량_호안공_1.역T형옹벽(변경)" xfId="1823" xr:uid="{00000000-0005-0000-0000-00001E070000}"/>
    <cellStyle name="_수량_호안공_2.역T형옹벽(변경)" xfId="1824" xr:uid="{00000000-0005-0000-0000-00001F070000}"/>
    <cellStyle name="_수량산출서" xfId="1825" xr:uid="{00000000-0005-0000-0000-000020070000}"/>
    <cellStyle name="_수량산출서_1.역T형옹벽(변경)" xfId="1826" xr:uid="{00000000-0005-0000-0000-000021070000}"/>
    <cellStyle name="_수량산출서_1공구수량" xfId="1827" xr:uid="{00000000-0005-0000-0000-000022070000}"/>
    <cellStyle name="_수량산출서_1공구수량_1.역T형옹벽(변경)" xfId="1828" xr:uid="{00000000-0005-0000-0000-000023070000}"/>
    <cellStyle name="_수량산출서_1공구수량_2.역T형옹벽(변경)" xfId="1829" xr:uid="{00000000-0005-0000-0000-000024070000}"/>
    <cellStyle name="_수량산출서_2.역T형옹벽(변경)" xfId="1830" xr:uid="{00000000-0005-0000-0000-000025070000}"/>
    <cellStyle name="_수량산출서_깨기수량" xfId="1831" xr:uid="{00000000-0005-0000-0000-000026070000}"/>
    <cellStyle name="_수량산출서_깨기수량_1.역T형옹벽(변경)" xfId="1832" xr:uid="{00000000-0005-0000-0000-000027070000}"/>
    <cellStyle name="_수량산출서_깨기수량_2.역T형옹벽(변경)" xfId="1833" xr:uid="{00000000-0005-0000-0000-000028070000}"/>
    <cellStyle name="_수량산출서_호안공" xfId="1834" xr:uid="{00000000-0005-0000-0000-000029070000}"/>
    <cellStyle name="_수량산출서_호안공_1.역T형옹벽(변경)" xfId="1835" xr:uid="{00000000-0005-0000-0000-00002A070000}"/>
    <cellStyle name="_수량산출서_호안공_2.역T형옹벽(변경)" xfId="1836" xr:uid="{00000000-0005-0000-0000-00002B070000}"/>
    <cellStyle name="_수량제목" xfId="1837" xr:uid="{00000000-0005-0000-0000-00002C070000}"/>
    <cellStyle name="_수량제목_내역서" xfId="1838" xr:uid="{00000000-0005-0000-0000-00002D070000}"/>
    <cellStyle name="_신탄진선(태림)" xfId="1839" xr:uid="{00000000-0005-0000-0000-00002E070000}"/>
    <cellStyle name="_어린이공원 시설물정비4차" xfId="1840" xr:uid="{00000000-0005-0000-0000-00002F070000}"/>
    <cellStyle name="_어린이공원 시설현대화 및 정비공사 (최종)" xfId="1841" xr:uid="{00000000-0005-0000-0000-000030070000}"/>
    <cellStyle name="_왕가봉정비공사" xfId="1842" xr:uid="{00000000-0005-0000-0000-000031070000}"/>
    <cellStyle name="_외산면" xfId="1843" xr:uid="{00000000-0005-0000-0000-000032070000}"/>
    <cellStyle name="_용두근린공원" xfId="1844" xr:uid="{00000000-0005-0000-0000-000033070000}"/>
    <cellStyle name="_용운동변경(시설물)" xfId="1845" xr:uid="{00000000-0005-0000-0000-000034070000}"/>
    <cellStyle name="_용운체육공원조성공사" xfId="1846" xr:uid="{00000000-0005-0000-0000-000035070000}"/>
    <cellStyle name="_원주목계단" xfId="1847" xr:uid="{00000000-0005-0000-0000-000036070000}"/>
    <cellStyle name="_유성 건축과(옥상)" xfId="1848" xr:uid="{00000000-0005-0000-0000-000037070000}"/>
    <cellStyle name="_은평공원테니스장정비공사" xfId="1849" xr:uid="{00000000-0005-0000-0000-000038070000}"/>
    <cellStyle name="_일위대가" xfId="1850" xr:uid="{00000000-0005-0000-0000-000039070000}"/>
    <cellStyle name="_장대공원 설계서(강윤구)" xfId="1851" xr:uid="{00000000-0005-0000-0000-00003A070000}"/>
    <cellStyle name="_장암농협설계" xfId="1852" xr:uid="{00000000-0005-0000-0000-00003B070000}"/>
    <cellStyle name="_장암면,합곡등농로" xfId="1853" xr:uid="{00000000-0005-0000-0000-00003C070000}"/>
    <cellStyle name="_전주수목원시설물보강" xfId="1854" xr:uid="{00000000-0005-0000-0000-00003D070000}"/>
    <cellStyle name="_정동리배수로공사" xfId="1855" xr:uid="{00000000-0005-0000-0000-00003E070000}"/>
    <cellStyle name="_제목" xfId="1856" xr:uid="{00000000-0005-0000-0000-00003F070000}"/>
    <cellStyle name="_제목_내역서" xfId="1857" xr:uid="{00000000-0005-0000-0000-000040070000}"/>
    <cellStyle name="_조능현" xfId="1858" xr:uid="{00000000-0005-0000-0000-000041070000}"/>
    <cellStyle name="_중구민병기복계단" xfId="1859" xr:uid="{00000000-0005-0000-0000-000042070000}"/>
    <cellStyle name="_집계표" xfId="1860" xr:uid="{00000000-0005-0000-0000-000043070000}"/>
    <cellStyle name="_집계표_1.역T형옹벽(변경)" xfId="1861" xr:uid="{00000000-0005-0000-0000-000044070000}"/>
    <cellStyle name="_집계표_1공구수량" xfId="1862" xr:uid="{00000000-0005-0000-0000-000045070000}"/>
    <cellStyle name="_집계표_1공구수량_1.역T형옹벽(변경)" xfId="1863" xr:uid="{00000000-0005-0000-0000-000046070000}"/>
    <cellStyle name="_집계표_1공구수량_2.역T형옹벽(변경)" xfId="1864" xr:uid="{00000000-0005-0000-0000-000047070000}"/>
    <cellStyle name="_집계표_2.역T형옹벽(변경)" xfId="1865" xr:uid="{00000000-0005-0000-0000-000048070000}"/>
    <cellStyle name="_집계표_깨기수량" xfId="1866" xr:uid="{00000000-0005-0000-0000-000049070000}"/>
    <cellStyle name="_집계표_깨기수량_1.역T형옹벽(변경)" xfId="1867" xr:uid="{00000000-0005-0000-0000-00004A070000}"/>
    <cellStyle name="_집계표_깨기수량_2.역T형옹벽(변경)" xfId="1868" xr:uid="{00000000-0005-0000-0000-00004B070000}"/>
    <cellStyle name="_집계표_집계표" xfId="1869" xr:uid="{00000000-0005-0000-0000-00004C070000}"/>
    <cellStyle name="_집계표_집계표_1.역T형옹벽(변경)" xfId="1870" xr:uid="{00000000-0005-0000-0000-00004D070000}"/>
    <cellStyle name="_집계표_집계표_1공구수량" xfId="1871" xr:uid="{00000000-0005-0000-0000-00004E070000}"/>
    <cellStyle name="_집계표_집계표_1공구수량_1.역T형옹벽(변경)" xfId="1872" xr:uid="{00000000-0005-0000-0000-00004F070000}"/>
    <cellStyle name="_집계표_집계표_1공구수량_2.역T형옹벽(변경)" xfId="1873" xr:uid="{00000000-0005-0000-0000-000050070000}"/>
    <cellStyle name="_집계표_집계표_2.역T형옹벽(변경)" xfId="1874" xr:uid="{00000000-0005-0000-0000-000051070000}"/>
    <cellStyle name="_집계표_집계표_깨기수량" xfId="1875" xr:uid="{00000000-0005-0000-0000-000052070000}"/>
    <cellStyle name="_집계표_집계표_깨기수량_1.역T형옹벽(변경)" xfId="1876" xr:uid="{00000000-0005-0000-0000-000053070000}"/>
    <cellStyle name="_집계표_집계표_깨기수량_2.역T형옹벽(변경)" xfId="1877" xr:uid="{00000000-0005-0000-0000-000054070000}"/>
    <cellStyle name="_집계표_집계표_호안공" xfId="1878" xr:uid="{00000000-0005-0000-0000-000055070000}"/>
    <cellStyle name="_집계표_집계표_호안공_1.역T형옹벽(변경)" xfId="1879" xr:uid="{00000000-0005-0000-0000-000056070000}"/>
    <cellStyle name="_집계표_집계표_호안공_2.역T형옹벽(변경)" xfId="1880" xr:uid="{00000000-0005-0000-0000-000057070000}"/>
    <cellStyle name="_집계표_호안공" xfId="1881" xr:uid="{00000000-0005-0000-0000-000058070000}"/>
    <cellStyle name="_집계표_호안공_1.역T형옹벽(변경)" xfId="1882" xr:uid="{00000000-0005-0000-0000-000059070000}"/>
    <cellStyle name="_집계표_호안공_2.역T형옹벽(변경)" xfId="1883" xr:uid="{00000000-0005-0000-0000-00005A070000}"/>
    <cellStyle name="_추곡" xfId="1884" xr:uid="{00000000-0005-0000-0000-00005B070000}"/>
    <cellStyle name="_추곡_1.역T형옹벽(변경)" xfId="1885" xr:uid="{00000000-0005-0000-0000-00005C070000}"/>
    <cellStyle name="_추곡_1공구수량" xfId="1886" xr:uid="{00000000-0005-0000-0000-00005D070000}"/>
    <cellStyle name="_추곡_1공구수량_1.역T형옹벽(변경)" xfId="1887" xr:uid="{00000000-0005-0000-0000-00005E070000}"/>
    <cellStyle name="_추곡_1공구수량_2.역T형옹벽(변경)" xfId="1888" xr:uid="{00000000-0005-0000-0000-00005F070000}"/>
    <cellStyle name="_추곡_2.역T형옹벽(변경)" xfId="1889" xr:uid="{00000000-0005-0000-0000-000060070000}"/>
    <cellStyle name="_추곡_Book1" xfId="1890" xr:uid="{00000000-0005-0000-0000-000061070000}"/>
    <cellStyle name="_추곡_Book1_1.역T형옹벽(변경)" xfId="1891" xr:uid="{00000000-0005-0000-0000-000062070000}"/>
    <cellStyle name="_추곡_Book1_2.역T형옹벽(변경)" xfId="1892" xr:uid="{00000000-0005-0000-0000-000063070000}"/>
    <cellStyle name="_추곡_Book1_호안공" xfId="1893" xr:uid="{00000000-0005-0000-0000-000064070000}"/>
    <cellStyle name="_추곡_Book1_호안공_1.역T형옹벽(변경)" xfId="1894" xr:uid="{00000000-0005-0000-0000-000065070000}"/>
    <cellStyle name="_추곡_Book1_호안공_2.역T형옹벽(변경)" xfId="1895" xr:uid="{00000000-0005-0000-0000-000066070000}"/>
    <cellStyle name="_추곡_Book2" xfId="1896" xr:uid="{00000000-0005-0000-0000-000067070000}"/>
    <cellStyle name="_추곡_Book2_1.역T형옹벽(변경)" xfId="1897" xr:uid="{00000000-0005-0000-0000-000068070000}"/>
    <cellStyle name="_추곡_Book2_1공구수량" xfId="1898" xr:uid="{00000000-0005-0000-0000-000069070000}"/>
    <cellStyle name="_추곡_Book2_1공구수량_1.역T형옹벽(변경)" xfId="1899" xr:uid="{00000000-0005-0000-0000-00006A070000}"/>
    <cellStyle name="_추곡_Book2_1공구수량_2.역T형옹벽(변경)" xfId="1900" xr:uid="{00000000-0005-0000-0000-00006B070000}"/>
    <cellStyle name="_추곡_Book2_2.역T형옹벽(변경)" xfId="1901" xr:uid="{00000000-0005-0000-0000-00006C070000}"/>
    <cellStyle name="_추곡_Book2_깨기수량" xfId="1902" xr:uid="{00000000-0005-0000-0000-00006D070000}"/>
    <cellStyle name="_추곡_Book2_깨기수량_1.역T형옹벽(변경)" xfId="1903" xr:uid="{00000000-0005-0000-0000-00006E070000}"/>
    <cellStyle name="_추곡_Book2_깨기수량_2.역T형옹벽(변경)" xfId="1904" xr:uid="{00000000-0005-0000-0000-00006F070000}"/>
    <cellStyle name="_추곡_Book2_집계표" xfId="1905" xr:uid="{00000000-0005-0000-0000-000070070000}"/>
    <cellStyle name="_추곡_Book2_집계표_1.역T형옹벽(변경)" xfId="1906" xr:uid="{00000000-0005-0000-0000-000071070000}"/>
    <cellStyle name="_추곡_Book2_집계표_1공구수량" xfId="1907" xr:uid="{00000000-0005-0000-0000-000072070000}"/>
    <cellStyle name="_추곡_Book2_집계표_1공구수량_1.역T형옹벽(변경)" xfId="1908" xr:uid="{00000000-0005-0000-0000-000073070000}"/>
    <cellStyle name="_추곡_Book2_집계표_1공구수량_2.역T형옹벽(변경)" xfId="1909" xr:uid="{00000000-0005-0000-0000-000074070000}"/>
    <cellStyle name="_추곡_Book2_집계표_2.역T형옹벽(변경)" xfId="1910" xr:uid="{00000000-0005-0000-0000-000075070000}"/>
    <cellStyle name="_추곡_Book2_집계표_깨기수량" xfId="1911" xr:uid="{00000000-0005-0000-0000-000076070000}"/>
    <cellStyle name="_추곡_Book2_집계표_깨기수량_1.역T형옹벽(변경)" xfId="1912" xr:uid="{00000000-0005-0000-0000-000077070000}"/>
    <cellStyle name="_추곡_Book2_집계표_깨기수량_2.역T형옹벽(변경)" xfId="1913" xr:uid="{00000000-0005-0000-0000-000078070000}"/>
    <cellStyle name="_추곡_Book2_집계표_호안공" xfId="1914" xr:uid="{00000000-0005-0000-0000-000079070000}"/>
    <cellStyle name="_추곡_Book2_집계표_호안공_1.역T형옹벽(변경)" xfId="1915" xr:uid="{00000000-0005-0000-0000-00007A070000}"/>
    <cellStyle name="_추곡_Book2_집계표_호안공_2.역T형옹벽(변경)" xfId="1916" xr:uid="{00000000-0005-0000-0000-00007B070000}"/>
    <cellStyle name="_추곡_Book2_호안공" xfId="1917" xr:uid="{00000000-0005-0000-0000-00007C070000}"/>
    <cellStyle name="_추곡_Book2_호안공_1.역T형옹벽(변경)" xfId="1918" xr:uid="{00000000-0005-0000-0000-00007D070000}"/>
    <cellStyle name="_추곡_Book2_호안공_2.역T형옹벽(변경)" xfId="1919" xr:uid="{00000000-0005-0000-0000-00007E070000}"/>
    <cellStyle name="_추곡_갈전리2공구수량" xfId="1920" xr:uid="{00000000-0005-0000-0000-00007F070000}"/>
    <cellStyle name="_추곡_갈전리2공구수량_1.역T형옹벽(변경)" xfId="1921" xr:uid="{00000000-0005-0000-0000-000080070000}"/>
    <cellStyle name="_추곡_갈전리2공구수량_1공구수량" xfId="1922" xr:uid="{00000000-0005-0000-0000-000081070000}"/>
    <cellStyle name="_추곡_갈전리2공구수량_1공구수량_1.역T형옹벽(변경)" xfId="1923" xr:uid="{00000000-0005-0000-0000-000082070000}"/>
    <cellStyle name="_추곡_갈전리2공구수량_1공구수량_2.역T형옹벽(변경)" xfId="1924" xr:uid="{00000000-0005-0000-0000-000083070000}"/>
    <cellStyle name="_추곡_갈전리2공구수량_2.역T형옹벽(변경)" xfId="1925" xr:uid="{00000000-0005-0000-0000-000084070000}"/>
    <cellStyle name="_추곡_갈전리2공구수량_깨기수량" xfId="1926" xr:uid="{00000000-0005-0000-0000-000085070000}"/>
    <cellStyle name="_추곡_갈전리2공구수량_깨기수량_1.역T형옹벽(변경)" xfId="1927" xr:uid="{00000000-0005-0000-0000-000086070000}"/>
    <cellStyle name="_추곡_갈전리2공구수량_깨기수량_2.역T형옹벽(변경)" xfId="1928" xr:uid="{00000000-0005-0000-0000-000087070000}"/>
    <cellStyle name="_추곡_갈전리2공구수량_호안공" xfId="1929" xr:uid="{00000000-0005-0000-0000-000088070000}"/>
    <cellStyle name="_추곡_갈전리2공구수량_호안공_1.역T형옹벽(변경)" xfId="1930" xr:uid="{00000000-0005-0000-0000-000089070000}"/>
    <cellStyle name="_추곡_갈전리2공구수량_호안공_2.역T형옹벽(변경)" xfId="1931" xr:uid="{00000000-0005-0000-0000-00008A070000}"/>
    <cellStyle name="_추곡_깨기" xfId="1932" xr:uid="{00000000-0005-0000-0000-00008B070000}"/>
    <cellStyle name="_추곡_깨기_1.역T형옹벽(변경)" xfId="1933" xr:uid="{00000000-0005-0000-0000-00008C070000}"/>
    <cellStyle name="_추곡_깨기_1공구수량" xfId="1934" xr:uid="{00000000-0005-0000-0000-00008D070000}"/>
    <cellStyle name="_추곡_깨기_1공구수량_1.역T형옹벽(변경)" xfId="1935" xr:uid="{00000000-0005-0000-0000-00008E070000}"/>
    <cellStyle name="_추곡_깨기_1공구수량_2.역T형옹벽(변경)" xfId="1936" xr:uid="{00000000-0005-0000-0000-00008F070000}"/>
    <cellStyle name="_추곡_깨기_2.역T형옹벽(변경)" xfId="1937" xr:uid="{00000000-0005-0000-0000-000090070000}"/>
    <cellStyle name="_추곡_깨기_깨기수량" xfId="1938" xr:uid="{00000000-0005-0000-0000-000091070000}"/>
    <cellStyle name="_추곡_깨기_깨기수량_1.역T형옹벽(변경)" xfId="1939" xr:uid="{00000000-0005-0000-0000-000092070000}"/>
    <cellStyle name="_추곡_깨기_깨기수량_2.역T형옹벽(변경)" xfId="1940" xr:uid="{00000000-0005-0000-0000-000093070000}"/>
    <cellStyle name="_추곡_깨기_호안공" xfId="1941" xr:uid="{00000000-0005-0000-0000-000094070000}"/>
    <cellStyle name="_추곡_깨기_호안공_1.역T형옹벽(변경)" xfId="1942" xr:uid="{00000000-0005-0000-0000-000095070000}"/>
    <cellStyle name="_추곡_깨기_호안공_2.역T형옹벽(변경)" xfId="1943" xr:uid="{00000000-0005-0000-0000-000096070000}"/>
    <cellStyle name="_추곡_깨기수량" xfId="1944" xr:uid="{00000000-0005-0000-0000-000097070000}"/>
    <cellStyle name="_추곡_깨기수량_1.역T형옹벽(변경)" xfId="1945" xr:uid="{00000000-0005-0000-0000-000098070000}"/>
    <cellStyle name="_추곡_깨기수량_2.역T형옹벽(변경)" xfId="1946" xr:uid="{00000000-0005-0000-0000-000099070000}"/>
    <cellStyle name="_추곡_수량" xfId="1947" xr:uid="{00000000-0005-0000-0000-00009A070000}"/>
    <cellStyle name="_추곡_수량(말미골천)" xfId="1948" xr:uid="{00000000-0005-0000-0000-00009B070000}"/>
    <cellStyle name="_추곡_수량(말미골천)_1.역T형옹벽(변경)" xfId="1949" xr:uid="{00000000-0005-0000-0000-00009C070000}"/>
    <cellStyle name="_추곡_수량(말미골천)_1공구수량" xfId="1950" xr:uid="{00000000-0005-0000-0000-00009D070000}"/>
    <cellStyle name="_추곡_수량(말미골천)_1공구수량_1.역T형옹벽(변경)" xfId="1951" xr:uid="{00000000-0005-0000-0000-00009E070000}"/>
    <cellStyle name="_추곡_수량(말미골천)_1공구수량_2.역T형옹벽(변경)" xfId="1952" xr:uid="{00000000-0005-0000-0000-00009F070000}"/>
    <cellStyle name="_추곡_수량(말미골천)_2.역T형옹벽(변경)" xfId="1953" xr:uid="{00000000-0005-0000-0000-0000A0070000}"/>
    <cellStyle name="_추곡_수량(말미골천)_깨기수량" xfId="1954" xr:uid="{00000000-0005-0000-0000-0000A1070000}"/>
    <cellStyle name="_추곡_수량(말미골천)_깨기수량_1.역T형옹벽(변경)" xfId="1955" xr:uid="{00000000-0005-0000-0000-0000A2070000}"/>
    <cellStyle name="_추곡_수량(말미골천)_깨기수량_2.역T형옹벽(변경)" xfId="1956" xr:uid="{00000000-0005-0000-0000-0000A3070000}"/>
    <cellStyle name="_추곡_수량(말미골천)_호안공" xfId="1957" xr:uid="{00000000-0005-0000-0000-0000A4070000}"/>
    <cellStyle name="_추곡_수량(말미골천)_호안공_1.역T형옹벽(변경)" xfId="1958" xr:uid="{00000000-0005-0000-0000-0000A5070000}"/>
    <cellStyle name="_추곡_수량(말미골천)_호안공_2.역T형옹벽(변경)" xfId="1959" xr:uid="{00000000-0005-0000-0000-0000A6070000}"/>
    <cellStyle name="_추곡_수량_1.역T형옹벽(변경)" xfId="1960" xr:uid="{00000000-0005-0000-0000-0000A7070000}"/>
    <cellStyle name="_추곡_수량_1공구수량" xfId="1961" xr:uid="{00000000-0005-0000-0000-0000A8070000}"/>
    <cellStyle name="_추곡_수량_1공구수량_1.역T형옹벽(변경)" xfId="1962" xr:uid="{00000000-0005-0000-0000-0000A9070000}"/>
    <cellStyle name="_추곡_수량_1공구수량_2.역T형옹벽(변경)" xfId="1963" xr:uid="{00000000-0005-0000-0000-0000AA070000}"/>
    <cellStyle name="_추곡_수량_2.역T형옹벽(변경)" xfId="1964" xr:uid="{00000000-0005-0000-0000-0000AB070000}"/>
    <cellStyle name="_추곡_수량_깨기수량" xfId="1965" xr:uid="{00000000-0005-0000-0000-0000AC070000}"/>
    <cellStyle name="_추곡_수량_깨기수량_1.역T형옹벽(변경)" xfId="1966" xr:uid="{00000000-0005-0000-0000-0000AD070000}"/>
    <cellStyle name="_추곡_수량_깨기수량_2.역T형옹벽(변경)" xfId="1967" xr:uid="{00000000-0005-0000-0000-0000AE070000}"/>
    <cellStyle name="_추곡_수량_호안공" xfId="1968" xr:uid="{00000000-0005-0000-0000-0000AF070000}"/>
    <cellStyle name="_추곡_수량_호안공_1.역T형옹벽(변경)" xfId="1969" xr:uid="{00000000-0005-0000-0000-0000B0070000}"/>
    <cellStyle name="_추곡_수량_호안공_2.역T형옹벽(변경)" xfId="1970" xr:uid="{00000000-0005-0000-0000-0000B1070000}"/>
    <cellStyle name="_추곡_수량산출서" xfId="1971" xr:uid="{00000000-0005-0000-0000-0000B2070000}"/>
    <cellStyle name="_추곡_수량산출서_1.역T형옹벽(변경)" xfId="1972" xr:uid="{00000000-0005-0000-0000-0000B3070000}"/>
    <cellStyle name="_추곡_수량산출서_1공구수량" xfId="1973" xr:uid="{00000000-0005-0000-0000-0000B4070000}"/>
    <cellStyle name="_추곡_수량산출서_1공구수량_1.역T형옹벽(변경)" xfId="1974" xr:uid="{00000000-0005-0000-0000-0000B5070000}"/>
    <cellStyle name="_추곡_수량산출서_1공구수량_2.역T형옹벽(변경)" xfId="1975" xr:uid="{00000000-0005-0000-0000-0000B6070000}"/>
    <cellStyle name="_추곡_수량산출서_2.역T형옹벽(변경)" xfId="1976" xr:uid="{00000000-0005-0000-0000-0000B7070000}"/>
    <cellStyle name="_추곡_수량산출서_깨기수량" xfId="1977" xr:uid="{00000000-0005-0000-0000-0000B8070000}"/>
    <cellStyle name="_추곡_수량산출서_깨기수량_1.역T형옹벽(변경)" xfId="1978" xr:uid="{00000000-0005-0000-0000-0000B9070000}"/>
    <cellStyle name="_추곡_수량산출서_깨기수량_2.역T형옹벽(변경)" xfId="1979" xr:uid="{00000000-0005-0000-0000-0000BA070000}"/>
    <cellStyle name="_추곡_수량산출서_호안공" xfId="1980" xr:uid="{00000000-0005-0000-0000-0000BB070000}"/>
    <cellStyle name="_추곡_수량산출서_호안공_1.역T형옹벽(변경)" xfId="1981" xr:uid="{00000000-0005-0000-0000-0000BC070000}"/>
    <cellStyle name="_추곡_수량산출서_호안공_2.역T형옹벽(변경)" xfId="1982" xr:uid="{00000000-0005-0000-0000-0000BD070000}"/>
    <cellStyle name="_추곡_집계표" xfId="1983" xr:uid="{00000000-0005-0000-0000-0000BE070000}"/>
    <cellStyle name="_추곡_집계표_1.역T형옹벽(변경)" xfId="1984" xr:uid="{00000000-0005-0000-0000-0000BF070000}"/>
    <cellStyle name="_추곡_집계표_1공구수량" xfId="1985" xr:uid="{00000000-0005-0000-0000-0000C0070000}"/>
    <cellStyle name="_추곡_집계표_1공구수량_1.역T형옹벽(변경)" xfId="1986" xr:uid="{00000000-0005-0000-0000-0000C1070000}"/>
    <cellStyle name="_추곡_집계표_1공구수량_2.역T형옹벽(변경)" xfId="1987" xr:uid="{00000000-0005-0000-0000-0000C2070000}"/>
    <cellStyle name="_추곡_집계표_2.역T형옹벽(변경)" xfId="1988" xr:uid="{00000000-0005-0000-0000-0000C3070000}"/>
    <cellStyle name="_추곡_집계표_깨기수량" xfId="1989" xr:uid="{00000000-0005-0000-0000-0000C4070000}"/>
    <cellStyle name="_추곡_집계표_깨기수량_1.역T형옹벽(변경)" xfId="1990" xr:uid="{00000000-0005-0000-0000-0000C5070000}"/>
    <cellStyle name="_추곡_집계표_깨기수량_2.역T형옹벽(변경)" xfId="1991" xr:uid="{00000000-0005-0000-0000-0000C6070000}"/>
    <cellStyle name="_추곡_집계표_집계표" xfId="1992" xr:uid="{00000000-0005-0000-0000-0000C7070000}"/>
    <cellStyle name="_추곡_집계표_집계표_1.역T형옹벽(변경)" xfId="1993" xr:uid="{00000000-0005-0000-0000-0000C8070000}"/>
    <cellStyle name="_추곡_집계표_집계표_1공구수량" xfId="1994" xr:uid="{00000000-0005-0000-0000-0000C9070000}"/>
    <cellStyle name="_추곡_집계표_집계표_1공구수량_1.역T형옹벽(변경)" xfId="1995" xr:uid="{00000000-0005-0000-0000-0000CA070000}"/>
    <cellStyle name="_추곡_집계표_집계표_1공구수량_2.역T형옹벽(변경)" xfId="1996" xr:uid="{00000000-0005-0000-0000-0000CB070000}"/>
    <cellStyle name="_추곡_집계표_집계표_2.역T형옹벽(변경)" xfId="1997" xr:uid="{00000000-0005-0000-0000-0000CC070000}"/>
    <cellStyle name="_추곡_집계표_집계표_깨기수량" xfId="1998" xr:uid="{00000000-0005-0000-0000-0000CD070000}"/>
    <cellStyle name="_추곡_집계표_집계표_깨기수량_1.역T형옹벽(변경)" xfId="1999" xr:uid="{00000000-0005-0000-0000-0000CE070000}"/>
    <cellStyle name="_추곡_집계표_집계표_깨기수량_2.역T형옹벽(변경)" xfId="2000" xr:uid="{00000000-0005-0000-0000-0000CF070000}"/>
    <cellStyle name="_추곡_집계표_집계표_호안공" xfId="2001" xr:uid="{00000000-0005-0000-0000-0000D0070000}"/>
    <cellStyle name="_추곡_집계표_집계표_호안공_1.역T형옹벽(변경)" xfId="2002" xr:uid="{00000000-0005-0000-0000-0000D1070000}"/>
    <cellStyle name="_추곡_집계표_집계표_호안공_2.역T형옹벽(변경)" xfId="2003" xr:uid="{00000000-0005-0000-0000-0000D2070000}"/>
    <cellStyle name="_추곡_집계표_호안공" xfId="2004" xr:uid="{00000000-0005-0000-0000-0000D3070000}"/>
    <cellStyle name="_추곡_집계표_호안공_1.역T형옹벽(변경)" xfId="2005" xr:uid="{00000000-0005-0000-0000-0000D4070000}"/>
    <cellStyle name="_추곡_집계표_호안공_2.역T형옹벽(변경)" xfId="2006" xr:uid="{00000000-0005-0000-0000-0000D5070000}"/>
    <cellStyle name="_추곡_추곡" xfId="2007" xr:uid="{00000000-0005-0000-0000-0000D6070000}"/>
    <cellStyle name="_추곡_추곡_1.역T형옹벽(변경)" xfId="2008" xr:uid="{00000000-0005-0000-0000-0000D7070000}"/>
    <cellStyle name="_추곡_추곡_1공구수량" xfId="2009" xr:uid="{00000000-0005-0000-0000-0000D8070000}"/>
    <cellStyle name="_추곡_추곡_1공구수량_1.역T형옹벽(변경)" xfId="2010" xr:uid="{00000000-0005-0000-0000-0000D9070000}"/>
    <cellStyle name="_추곡_추곡_1공구수량_2.역T형옹벽(변경)" xfId="2011" xr:uid="{00000000-0005-0000-0000-0000DA070000}"/>
    <cellStyle name="_추곡_추곡_2.역T형옹벽(변경)" xfId="2012" xr:uid="{00000000-0005-0000-0000-0000DB070000}"/>
    <cellStyle name="_추곡_추곡_Book1" xfId="2013" xr:uid="{00000000-0005-0000-0000-0000DC070000}"/>
    <cellStyle name="_추곡_추곡_Book1_1.역T형옹벽(변경)" xfId="2014" xr:uid="{00000000-0005-0000-0000-0000DD070000}"/>
    <cellStyle name="_추곡_추곡_Book1_2.역T형옹벽(변경)" xfId="2015" xr:uid="{00000000-0005-0000-0000-0000DE070000}"/>
    <cellStyle name="_추곡_추곡_Book1_호안공" xfId="2016" xr:uid="{00000000-0005-0000-0000-0000DF070000}"/>
    <cellStyle name="_추곡_추곡_Book1_호안공_1.역T형옹벽(변경)" xfId="2017" xr:uid="{00000000-0005-0000-0000-0000E0070000}"/>
    <cellStyle name="_추곡_추곡_Book1_호안공_2.역T형옹벽(변경)" xfId="2018" xr:uid="{00000000-0005-0000-0000-0000E1070000}"/>
    <cellStyle name="_추곡_추곡_Book2" xfId="2019" xr:uid="{00000000-0005-0000-0000-0000E2070000}"/>
    <cellStyle name="_추곡_추곡_Book2_1.역T형옹벽(변경)" xfId="2020" xr:uid="{00000000-0005-0000-0000-0000E3070000}"/>
    <cellStyle name="_추곡_추곡_Book2_1공구수량" xfId="2021" xr:uid="{00000000-0005-0000-0000-0000E4070000}"/>
    <cellStyle name="_추곡_추곡_Book2_1공구수량_1.역T형옹벽(변경)" xfId="2022" xr:uid="{00000000-0005-0000-0000-0000E5070000}"/>
    <cellStyle name="_추곡_추곡_Book2_1공구수량_2.역T형옹벽(변경)" xfId="2023" xr:uid="{00000000-0005-0000-0000-0000E6070000}"/>
    <cellStyle name="_추곡_추곡_Book2_2.역T형옹벽(변경)" xfId="2024" xr:uid="{00000000-0005-0000-0000-0000E7070000}"/>
    <cellStyle name="_추곡_추곡_Book2_깨기수량" xfId="2025" xr:uid="{00000000-0005-0000-0000-0000E8070000}"/>
    <cellStyle name="_추곡_추곡_Book2_깨기수량_1.역T형옹벽(변경)" xfId="2026" xr:uid="{00000000-0005-0000-0000-0000E9070000}"/>
    <cellStyle name="_추곡_추곡_Book2_깨기수량_2.역T형옹벽(변경)" xfId="2027" xr:uid="{00000000-0005-0000-0000-0000EA070000}"/>
    <cellStyle name="_추곡_추곡_Book2_집계표" xfId="2028" xr:uid="{00000000-0005-0000-0000-0000EB070000}"/>
    <cellStyle name="_추곡_추곡_Book2_집계표_1.역T형옹벽(변경)" xfId="2029" xr:uid="{00000000-0005-0000-0000-0000EC070000}"/>
    <cellStyle name="_추곡_추곡_Book2_집계표_1공구수량" xfId="2030" xr:uid="{00000000-0005-0000-0000-0000ED070000}"/>
    <cellStyle name="_추곡_추곡_Book2_집계표_1공구수량_1.역T형옹벽(변경)" xfId="2031" xr:uid="{00000000-0005-0000-0000-0000EE070000}"/>
    <cellStyle name="_추곡_추곡_Book2_집계표_1공구수량_2.역T형옹벽(변경)" xfId="2032" xr:uid="{00000000-0005-0000-0000-0000EF070000}"/>
    <cellStyle name="_추곡_추곡_Book2_집계표_2.역T형옹벽(변경)" xfId="2033" xr:uid="{00000000-0005-0000-0000-0000F0070000}"/>
    <cellStyle name="_추곡_추곡_Book2_집계표_깨기수량" xfId="2034" xr:uid="{00000000-0005-0000-0000-0000F1070000}"/>
    <cellStyle name="_추곡_추곡_Book2_집계표_깨기수량_1.역T형옹벽(변경)" xfId="2035" xr:uid="{00000000-0005-0000-0000-0000F2070000}"/>
    <cellStyle name="_추곡_추곡_Book2_집계표_깨기수량_2.역T형옹벽(변경)" xfId="2036" xr:uid="{00000000-0005-0000-0000-0000F3070000}"/>
    <cellStyle name="_추곡_추곡_Book2_집계표_호안공" xfId="2037" xr:uid="{00000000-0005-0000-0000-0000F4070000}"/>
    <cellStyle name="_추곡_추곡_Book2_집계표_호안공_1.역T형옹벽(변경)" xfId="2038" xr:uid="{00000000-0005-0000-0000-0000F5070000}"/>
    <cellStyle name="_추곡_추곡_Book2_집계표_호안공_2.역T형옹벽(변경)" xfId="2039" xr:uid="{00000000-0005-0000-0000-0000F6070000}"/>
    <cellStyle name="_추곡_추곡_Book2_호안공" xfId="2040" xr:uid="{00000000-0005-0000-0000-0000F7070000}"/>
    <cellStyle name="_추곡_추곡_Book2_호안공_1.역T형옹벽(변경)" xfId="2041" xr:uid="{00000000-0005-0000-0000-0000F8070000}"/>
    <cellStyle name="_추곡_추곡_Book2_호안공_2.역T형옹벽(변경)" xfId="2042" xr:uid="{00000000-0005-0000-0000-0000F9070000}"/>
    <cellStyle name="_추곡_추곡_갈전리2공구수량" xfId="2043" xr:uid="{00000000-0005-0000-0000-0000FA070000}"/>
    <cellStyle name="_추곡_추곡_갈전리2공구수량_1.역T형옹벽(변경)" xfId="2044" xr:uid="{00000000-0005-0000-0000-0000FB070000}"/>
    <cellStyle name="_추곡_추곡_갈전리2공구수량_1공구수량" xfId="2045" xr:uid="{00000000-0005-0000-0000-0000FC070000}"/>
    <cellStyle name="_추곡_추곡_갈전리2공구수량_1공구수량_1.역T형옹벽(변경)" xfId="2046" xr:uid="{00000000-0005-0000-0000-0000FD070000}"/>
    <cellStyle name="_추곡_추곡_갈전리2공구수량_1공구수량_2.역T형옹벽(변경)" xfId="2047" xr:uid="{00000000-0005-0000-0000-0000FE070000}"/>
    <cellStyle name="_추곡_추곡_갈전리2공구수량_2.역T형옹벽(변경)" xfId="2048" xr:uid="{00000000-0005-0000-0000-0000FF070000}"/>
    <cellStyle name="_추곡_추곡_갈전리2공구수량_깨기수량" xfId="2049" xr:uid="{00000000-0005-0000-0000-000000080000}"/>
    <cellStyle name="_추곡_추곡_갈전리2공구수량_깨기수량_1.역T형옹벽(변경)" xfId="2050" xr:uid="{00000000-0005-0000-0000-000001080000}"/>
    <cellStyle name="_추곡_추곡_갈전리2공구수량_깨기수량_2.역T형옹벽(변경)" xfId="2051" xr:uid="{00000000-0005-0000-0000-000002080000}"/>
    <cellStyle name="_추곡_추곡_갈전리2공구수량_호안공" xfId="2052" xr:uid="{00000000-0005-0000-0000-000003080000}"/>
    <cellStyle name="_추곡_추곡_갈전리2공구수량_호안공_1.역T형옹벽(변경)" xfId="2053" xr:uid="{00000000-0005-0000-0000-000004080000}"/>
    <cellStyle name="_추곡_추곡_갈전리2공구수량_호안공_2.역T형옹벽(변경)" xfId="2054" xr:uid="{00000000-0005-0000-0000-000005080000}"/>
    <cellStyle name="_추곡_추곡_깨기" xfId="2055" xr:uid="{00000000-0005-0000-0000-000006080000}"/>
    <cellStyle name="_추곡_추곡_깨기_1.역T형옹벽(변경)" xfId="2056" xr:uid="{00000000-0005-0000-0000-000007080000}"/>
    <cellStyle name="_추곡_추곡_깨기_1공구수량" xfId="2057" xr:uid="{00000000-0005-0000-0000-000008080000}"/>
    <cellStyle name="_추곡_추곡_깨기_1공구수량_1.역T형옹벽(변경)" xfId="2058" xr:uid="{00000000-0005-0000-0000-000009080000}"/>
    <cellStyle name="_추곡_추곡_깨기_1공구수량_2.역T형옹벽(변경)" xfId="2059" xr:uid="{00000000-0005-0000-0000-00000A080000}"/>
    <cellStyle name="_추곡_추곡_깨기_2.역T형옹벽(변경)" xfId="2060" xr:uid="{00000000-0005-0000-0000-00000B080000}"/>
    <cellStyle name="_추곡_추곡_깨기_깨기수량" xfId="2061" xr:uid="{00000000-0005-0000-0000-00000C080000}"/>
    <cellStyle name="_추곡_추곡_깨기_깨기수량_1.역T형옹벽(변경)" xfId="2062" xr:uid="{00000000-0005-0000-0000-00000D080000}"/>
    <cellStyle name="_추곡_추곡_깨기_깨기수량_2.역T형옹벽(변경)" xfId="2063" xr:uid="{00000000-0005-0000-0000-00000E080000}"/>
    <cellStyle name="_추곡_추곡_깨기_호안공" xfId="2064" xr:uid="{00000000-0005-0000-0000-00000F080000}"/>
    <cellStyle name="_추곡_추곡_깨기_호안공_1.역T형옹벽(변경)" xfId="2065" xr:uid="{00000000-0005-0000-0000-000010080000}"/>
    <cellStyle name="_추곡_추곡_깨기_호안공_2.역T형옹벽(변경)" xfId="2066" xr:uid="{00000000-0005-0000-0000-000011080000}"/>
    <cellStyle name="_추곡_추곡_깨기수량" xfId="2067" xr:uid="{00000000-0005-0000-0000-000012080000}"/>
    <cellStyle name="_추곡_추곡_깨기수량_1.역T형옹벽(변경)" xfId="2068" xr:uid="{00000000-0005-0000-0000-000013080000}"/>
    <cellStyle name="_추곡_추곡_깨기수량_2.역T형옹벽(변경)" xfId="2069" xr:uid="{00000000-0005-0000-0000-000014080000}"/>
    <cellStyle name="_추곡_추곡_수량" xfId="2070" xr:uid="{00000000-0005-0000-0000-000015080000}"/>
    <cellStyle name="_추곡_추곡_수량(말미골천)" xfId="2071" xr:uid="{00000000-0005-0000-0000-000016080000}"/>
    <cellStyle name="_추곡_추곡_수량(말미골천)_1.역T형옹벽(변경)" xfId="2072" xr:uid="{00000000-0005-0000-0000-000017080000}"/>
    <cellStyle name="_추곡_추곡_수량(말미골천)_1공구수량" xfId="2073" xr:uid="{00000000-0005-0000-0000-000018080000}"/>
    <cellStyle name="_추곡_추곡_수량(말미골천)_1공구수량_1.역T형옹벽(변경)" xfId="2074" xr:uid="{00000000-0005-0000-0000-000019080000}"/>
    <cellStyle name="_추곡_추곡_수량(말미골천)_1공구수량_2.역T형옹벽(변경)" xfId="2075" xr:uid="{00000000-0005-0000-0000-00001A080000}"/>
    <cellStyle name="_추곡_추곡_수량(말미골천)_2.역T형옹벽(변경)" xfId="2076" xr:uid="{00000000-0005-0000-0000-00001B080000}"/>
    <cellStyle name="_추곡_추곡_수량(말미골천)_깨기수량" xfId="2077" xr:uid="{00000000-0005-0000-0000-00001C080000}"/>
    <cellStyle name="_추곡_추곡_수량(말미골천)_깨기수량_1.역T형옹벽(변경)" xfId="2078" xr:uid="{00000000-0005-0000-0000-00001D080000}"/>
    <cellStyle name="_추곡_추곡_수량(말미골천)_깨기수량_2.역T형옹벽(변경)" xfId="2079" xr:uid="{00000000-0005-0000-0000-00001E080000}"/>
    <cellStyle name="_추곡_추곡_수량(말미골천)_호안공" xfId="2080" xr:uid="{00000000-0005-0000-0000-00001F080000}"/>
    <cellStyle name="_추곡_추곡_수량(말미골천)_호안공_1.역T형옹벽(변경)" xfId="2081" xr:uid="{00000000-0005-0000-0000-000020080000}"/>
    <cellStyle name="_추곡_추곡_수량(말미골천)_호안공_2.역T형옹벽(변경)" xfId="2082" xr:uid="{00000000-0005-0000-0000-000021080000}"/>
    <cellStyle name="_추곡_추곡_수량_1.역T형옹벽(변경)" xfId="2083" xr:uid="{00000000-0005-0000-0000-000022080000}"/>
    <cellStyle name="_추곡_추곡_수량_1공구수량" xfId="2084" xr:uid="{00000000-0005-0000-0000-000023080000}"/>
    <cellStyle name="_추곡_추곡_수량_1공구수량_1.역T형옹벽(변경)" xfId="2085" xr:uid="{00000000-0005-0000-0000-000024080000}"/>
    <cellStyle name="_추곡_추곡_수량_1공구수량_2.역T형옹벽(변경)" xfId="2086" xr:uid="{00000000-0005-0000-0000-000025080000}"/>
    <cellStyle name="_추곡_추곡_수량_2.역T형옹벽(변경)" xfId="2087" xr:uid="{00000000-0005-0000-0000-000026080000}"/>
    <cellStyle name="_추곡_추곡_수량_깨기수량" xfId="2088" xr:uid="{00000000-0005-0000-0000-000027080000}"/>
    <cellStyle name="_추곡_추곡_수량_깨기수량_1.역T형옹벽(변경)" xfId="2089" xr:uid="{00000000-0005-0000-0000-000028080000}"/>
    <cellStyle name="_추곡_추곡_수량_깨기수량_2.역T형옹벽(변경)" xfId="2090" xr:uid="{00000000-0005-0000-0000-000029080000}"/>
    <cellStyle name="_추곡_추곡_수량_호안공" xfId="2091" xr:uid="{00000000-0005-0000-0000-00002A080000}"/>
    <cellStyle name="_추곡_추곡_수량_호안공_1.역T형옹벽(변경)" xfId="2092" xr:uid="{00000000-0005-0000-0000-00002B080000}"/>
    <cellStyle name="_추곡_추곡_수량_호안공_2.역T형옹벽(변경)" xfId="2093" xr:uid="{00000000-0005-0000-0000-00002C080000}"/>
    <cellStyle name="_추곡_추곡_수량산출서" xfId="2094" xr:uid="{00000000-0005-0000-0000-00002D080000}"/>
    <cellStyle name="_추곡_추곡_수량산출서_1.역T형옹벽(변경)" xfId="2095" xr:uid="{00000000-0005-0000-0000-00002E080000}"/>
    <cellStyle name="_추곡_추곡_수량산출서_1공구수량" xfId="2096" xr:uid="{00000000-0005-0000-0000-00002F080000}"/>
    <cellStyle name="_추곡_추곡_수량산출서_1공구수량_1.역T형옹벽(변경)" xfId="2097" xr:uid="{00000000-0005-0000-0000-000030080000}"/>
    <cellStyle name="_추곡_추곡_수량산출서_1공구수량_2.역T형옹벽(변경)" xfId="2098" xr:uid="{00000000-0005-0000-0000-000031080000}"/>
    <cellStyle name="_추곡_추곡_수량산출서_2.역T형옹벽(변경)" xfId="2099" xr:uid="{00000000-0005-0000-0000-000032080000}"/>
    <cellStyle name="_추곡_추곡_수량산출서_깨기수량" xfId="2100" xr:uid="{00000000-0005-0000-0000-000033080000}"/>
    <cellStyle name="_추곡_추곡_수량산출서_깨기수량_1.역T형옹벽(변경)" xfId="2101" xr:uid="{00000000-0005-0000-0000-000034080000}"/>
    <cellStyle name="_추곡_추곡_수량산출서_깨기수량_2.역T형옹벽(변경)" xfId="2102" xr:uid="{00000000-0005-0000-0000-000035080000}"/>
    <cellStyle name="_추곡_추곡_수량산출서_호안공" xfId="2103" xr:uid="{00000000-0005-0000-0000-000036080000}"/>
    <cellStyle name="_추곡_추곡_수량산출서_호안공_1.역T형옹벽(변경)" xfId="2104" xr:uid="{00000000-0005-0000-0000-000037080000}"/>
    <cellStyle name="_추곡_추곡_수량산출서_호안공_2.역T형옹벽(변경)" xfId="2105" xr:uid="{00000000-0005-0000-0000-000038080000}"/>
    <cellStyle name="_추곡_추곡_집계표" xfId="2106" xr:uid="{00000000-0005-0000-0000-000039080000}"/>
    <cellStyle name="_추곡_추곡_집계표_1.역T형옹벽(변경)" xfId="2107" xr:uid="{00000000-0005-0000-0000-00003A080000}"/>
    <cellStyle name="_추곡_추곡_집계표_1공구수량" xfId="2108" xr:uid="{00000000-0005-0000-0000-00003B080000}"/>
    <cellStyle name="_추곡_추곡_집계표_1공구수량_1.역T형옹벽(변경)" xfId="2109" xr:uid="{00000000-0005-0000-0000-00003C080000}"/>
    <cellStyle name="_추곡_추곡_집계표_1공구수량_2.역T형옹벽(변경)" xfId="2110" xr:uid="{00000000-0005-0000-0000-00003D080000}"/>
    <cellStyle name="_추곡_추곡_집계표_2.역T형옹벽(변경)" xfId="2111" xr:uid="{00000000-0005-0000-0000-00003E080000}"/>
    <cellStyle name="_추곡_추곡_집계표_깨기수량" xfId="2112" xr:uid="{00000000-0005-0000-0000-00003F080000}"/>
    <cellStyle name="_추곡_추곡_집계표_깨기수량_1.역T형옹벽(변경)" xfId="2113" xr:uid="{00000000-0005-0000-0000-000040080000}"/>
    <cellStyle name="_추곡_추곡_집계표_깨기수량_2.역T형옹벽(변경)" xfId="2114" xr:uid="{00000000-0005-0000-0000-000041080000}"/>
    <cellStyle name="_추곡_추곡_집계표_집계표" xfId="2115" xr:uid="{00000000-0005-0000-0000-000042080000}"/>
    <cellStyle name="_추곡_추곡_집계표_집계표_1.역T형옹벽(변경)" xfId="2116" xr:uid="{00000000-0005-0000-0000-000043080000}"/>
    <cellStyle name="_추곡_추곡_집계표_집계표_1공구수량" xfId="2117" xr:uid="{00000000-0005-0000-0000-000044080000}"/>
    <cellStyle name="_추곡_추곡_집계표_집계표_1공구수량_1.역T형옹벽(변경)" xfId="2118" xr:uid="{00000000-0005-0000-0000-000045080000}"/>
    <cellStyle name="_추곡_추곡_집계표_집계표_1공구수량_2.역T형옹벽(변경)" xfId="2119" xr:uid="{00000000-0005-0000-0000-000046080000}"/>
    <cellStyle name="_추곡_추곡_집계표_집계표_2.역T형옹벽(변경)" xfId="2120" xr:uid="{00000000-0005-0000-0000-000047080000}"/>
    <cellStyle name="_추곡_추곡_집계표_집계표_깨기수량" xfId="2121" xr:uid="{00000000-0005-0000-0000-000048080000}"/>
    <cellStyle name="_추곡_추곡_집계표_집계표_깨기수량_1.역T형옹벽(변경)" xfId="2122" xr:uid="{00000000-0005-0000-0000-000049080000}"/>
    <cellStyle name="_추곡_추곡_집계표_집계표_깨기수량_2.역T형옹벽(변경)" xfId="2123" xr:uid="{00000000-0005-0000-0000-00004A080000}"/>
    <cellStyle name="_추곡_추곡_집계표_집계표_호안공" xfId="2124" xr:uid="{00000000-0005-0000-0000-00004B080000}"/>
    <cellStyle name="_추곡_추곡_집계표_집계표_호안공_1.역T형옹벽(변경)" xfId="2125" xr:uid="{00000000-0005-0000-0000-00004C080000}"/>
    <cellStyle name="_추곡_추곡_집계표_집계표_호안공_2.역T형옹벽(변경)" xfId="2126" xr:uid="{00000000-0005-0000-0000-00004D080000}"/>
    <cellStyle name="_추곡_추곡_집계표_호안공" xfId="2127" xr:uid="{00000000-0005-0000-0000-00004E080000}"/>
    <cellStyle name="_추곡_추곡_집계표_호안공_1.역T형옹벽(변경)" xfId="2128" xr:uid="{00000000-0005-0000-0000-00004F080000}"/>
    <cellStyle name="_추곡_추곡_집계표_호안공_2.역T형옹벽(변경)" xfId="2129" xr:uid="{00000000-0005-0000-0000-000050080000}"/>
    <cellStyle name="_추곡_추곡_호안공" xfId="2130" xr:uid="{00000000-0005-0000-0000-000051080000}"/>
    <cellStyle name="_추곡_추곡_호안공_1.역T형옹벽(변경)" xfId="2131" xr:uid="{00000000-0005-0000-0000-000052080000}"/>
    <cellStyle name="_추곡_추곡_호안공_2.역T형옹벽(변경)" xfId="2132" xr:uid="{00000000-0005-0000-0000-000053080000}"/>
    <cellStyle name="_추곡_추곡_호안공_호안공" xfId="2133" xr:uid="{00000000-0005-0000-0000-000054080000}"/>
    <cellStyle name="_추곡_추곡_호안공_호안공_1.역T형옹벽(변경)" xfId="2134" xr:uid="{00000000-0005-0000-0000-000055080000}"/>
    <cellStyle name="_추곡_추곡_호안공_호안공_2.역T형옹벽(변경)" xfId="2135" xr:uid="{00000000-0005-0000-0000-000056080000}"/>
    <cellStyle name="_추곡_호안공" xfId="2136" xr:uid="{00000000-0005-0000-0000-000057080000}"/>
    <cellStyle name="_추곡_호안공_1.역T형옹벽(변경)" xfId="2137" xr:uid="{00000000-0005-0000-0000-000058080000}"/>
    <cellStyle name="_추곡_호안공_2.역T형옹벽(변경)" xfId="2138" xr:uid="{00000000-0005-0000-0000-000059080000}"/>
    <cellStyle name="_추곡_호안공_호안공" xfId="2139" xr:uid="{00000000-0005-0000-0000-00005A080000}"/>
    <cellStyle name="_추곡_호안공_호안공_1.역T형옹벽(변경)" xfId="2140" xr:uid="{00000000-0005-0000-0000-00005B080000}"/>
    <cellStyle name="_추곡_호안공_호안공_2.역T형옹벽(변경)" xfId="2141" xr:uid="{00000000-0005-0000-0000-00005C080000}"/>
    <cellStyle name="_판암근린공원황톳길조성공사" xfId="2142" xr:uid="{00000000-0005-0000-0000-00005D080000}"/>
    <cellStyle name="_평상" xfId="2143" xr:uid="{00000000-0005-0000-0000-00005E080000}"/>
    <cellStyle name="_한국원자력안전기술원" xfId="2144" xr:uid="{00000000-0005-0000-0000-00005F080000}"/>
    <cellStyle name="_한전연구견적" xfId="2145" xr:uid="{00000000-0005-0000-0000-000060080000}"/>
    <cellStyle name="_호안공" xfId="2146" xr:uid="{00000000-0005-0000-0000-000061080000}"/>
    <cellStyle name="_호안공_1.역T형옹벽(변경)" xfId="2147" xr:uid="{00000000-0005-0000-0000-000062080000}"/>
    <cellStyle name="_호안공_2.역T형옹벽(변경)" xfId="2148" xr:uid="{00000000-0005-0000-0000-000063080000}"/>
    <cellStyle name="_호안공_호안공" xfId="2149" xr:uid="{00000000-0005-0000-0000-000064080000}"/>
    <cellStyle name="_호안공_호안공_1.역T형옹벽(변경)" xfId="2150" xr:uid="{00000000-0005-0000-0000-000065080000}"/>
    <cellStyle name="_호안공_호안공_2.역T형옹벽(변경)" xfId="2151" xr:uid="{00000000-0005-0000-0000-000066080000}"/>
    <cellStyle name="’E‰Y [0.00]_laroux" xfId="2152" xr:uid="{00000000-0005-0000-0000-000067080000}"/>
    <cellStyle name="’E‰Y_laroux" xfId="2153" xr:uid="{00000000-0005-0000-0000-000068080000}"/>
    <cellStyle name="¤@?e_TEST-1 " xfId="2154" xr:uid="{00000000-0005-0000-0000-000069080000}"/>
    <cellStyle name="¹eº" xfId="2155" xr:uid="{00000000-0005-0000-0000-00006A080000}"/>
    <cellStyle name="¹éº" xfId="2156" xr:uid="{00000000-0005-0000-0000-00006B080000}"/>
    <cellStyle name="¹eº_08정암보완추가단가" xfId="2157" xr:uid="{00000000-0005-0000-0000-00006C080000}"/>
    <cellStyle name="¹éº_08정암보완추가단가" xfId="2158" xr:uid="{00000000-0005-0000-0000-00006D080000}"/>
    <cellStyle name="¹eº_갑문배수장보완(03.6월)" xfId="2159" xr:uid="{00000000-0005-0000-0000-00006E080000}"/>
    <cellStyle name="¹éº_공음배수장-2002년단가보완(기계)" xfId="2160" xr:uid="{00000000-0005-0000-0000-00006F080000}"/>
    <cellStyle name="¹eº_마곡보완" xfId="2161" xr:uid="{00000000-0005-0000-0000-000070080000}"/>
    <cellStyle name="¹éº_마곡보완" xfId="2162" xr:uid="{00000000-0005-0000-0000-000071080000}"/>
    <cellStyle name="¹eº_신태인배수장제진기" xfId="2163" xr:uid="{00000000-0005-0000-0000-000072080000}"/>
    <cellStyle name="¹éº_연동양수장" xfId="2164" xr:uid="{00000000-0005-0000-0000-000073080000}"/>
    <cellStyle name="¹eº_옥포배수갑문설계11.26" xfId="2165" xr:uid="{00000000-0005-0000-0000-000074080000}"/>
    <cellStyle name="¹éº_율북보완" xfId="2166" xr:uid="{00000000-0005-0000-0000-000075080000}"/>
    <cellStyle name="¹eº_전체분" xfId="2167" xr:uid="{00000000-0005-0000-0000-000076080000}"/>
    <cellStyle name="¹éº_접지양수장내역서" xfId="2168" xr:uid="{00000000-0005-0000-0000-000077080000}"/>
    <cellStyle name="2)" xfId="2169" xr:uid="{00000000-0005-0000-0000-000078080000}"/>
    <cellStyle name="20% - 강조색1" xfId="2170" builtinId="30" customBuiltin="1"/>
    <cellStyle name="20% - 강조색2" xfId="2171" builtinId="34" customBuiltin="1"/>
    <cellStyle name="20% - 강조색3" xfId="2172" builtinId="38" customBuiltin="1"/>
    <cellStyle name="20% - 강조색4" xfId="2173" builtinId="42" customBuiltin="1"/>
    <cellStyle name="20% - 강조색5" xfId="2174" builtinId="46" customBuiltin="1"/>
    <cellStyle name="20% - 강조색6" xfId="2175" builtinId="50" customBuiltin="1"/>
    <cellStyle name="40% - 강조색1" xfId="2176" builtinId="31" customBuiltin="1"/>
    <cellStyle name="40% - 강조색2" xfId="2177" builtinId="35" customBuiltin="1"/>
    <cellStyle name="40% - 강조색3" xfId="2178" builtinId="39" customBuiltin="1"/>
    <cellStyle name="40% - 강조색4" xfId="2179" builtinId="43" customBuiltin="1"/>
    <cellStyle name="40% - 강조색5" xfId="2180" builtinId="47" customBuiltin="1"/>
    <cellStyle name="40% - 강조색6" xfId="2181" builtinId="51" customBuiltin="1"/>
    <cellStyle name="60" xfId="2182" xr:uid="{00000000-0005-0000-0000-000085080000}"/>
    <cellStyle name="60% - 강조색1" xfId="2183" builtinId="32" customBuiltin="1"/>
    <cellStyle name="60% - 강조색2" xfId="2184" builtinId="36" customBuiltin="1"/>
    <cellStyle name="60% - 강조색3" xfId="2185" builtinId="40" customBuiltin="1"/>
    <cellStyle name="60% - 강조색4" xfId="2186" builtinId="44" customBuiltin="1"/>
    <cellStyle name="60% - 강조색5" xfId="2187" builtinId="48" customBuiltin="1"/>
    <cellStyle name="60% - 강조색6" xfId="2188" builtinId="52" customBuiltin="1"/>
    <cellStyle name="Ae" xfId="2189" xr:uid="{00000000-0005-0000-0000-00008C080000}"/>
    <cellStyle name="Åë" xfId="2190" xr:uid="{00000000-0005-0000-0000-00008D080000}"/>
    <cellStyle name="Ae_08정암보완추가단가" xfId="2191" xr:uid="{00000000-0005-0000-0000-00008E080000}"/>
    <cellStyle name="Åë_08정암보완추가단가" xfId="2192" xr:uid="{00000000-0005-0000-0000-00008F080000}"/>
    <cellStyle name="Ae_갑문배수장보완(03.6월)" xfId="2193" xr:uid="{00000000-0005-0000-0000-000090080000}"/>
    <cellStyle name="Åë_공음배수장-2002년단가보완(기계)" xfId="2194" xr:uid="{00000000-0005-0000-0000-000091080000}"/>
    <cellStyle name="Ae_마곡보완" xfId="2195" xr:uid="{00000000-0005-0000-0000-000092080000}"/>
    <cellStyle name="Åë_마곡보완" xfId="2196" xr:uid="{00000000-0005-0000-0000-000093080000}"/>
    <cellStyle name="Ae_신태인배수장제진기" xfId="2197" xr:uid="{00000000-0005-0000-0000-000094080000}"/>
    <cellStyle name="Åë_연동양수장" xfId="2198" xr:uid="{00000000-0005-0000-0000-000095080000}"/>
    <cellStyle name="Ae_옥포배수갑문설계11.26" xfId="2199" xr:uid="{00000000-0005-0000-0000-000096080000}"/>
    <cellStyle name="Åë_율북보완" xfId="2200" xr:uid="{00000000-0005-0000-0000-000097080000}"/>
    <cellStyle name="Ae_전체분" xfId="2201" xr:uid="{00000000-0005-0000-0000-000098080000}"/>
    <cellStyle name="Åë_접지양수장내역서" xfId="2202" xr:uid="{00000000-0005-0000-0000-000099080000}"/>
    <cellStyle name="Aee­ [" xfId="2203" xr:uid="{00000000-0005-0000-0000-00009A080000}"/>
    <cellStyle name="Åëè­ [" xfId="2204" xr:uid="{00000000-0005-0000-0000-00009B080000}"/>
    <cellStyle name="Aee­ [_08정암보완추가단가" xfId="2205" xr:uid="{00000000-0005-0000-0000-00009C080000}"/>
    <cellStyle name="Åëè­ [_08정암보완추가단가" xfId="2206" xr:uid="{00000000-0005-0000-0000-00009D080000}"/>
    <cellStyle name="Aee­ [_갑문배수장보완(03.6월)" xfId="2207" xr:uid="{00000000-0005-0000-0000-00009E080000}"/>
    <cellStyle name="Åëè­ [_공음배수장-2002년단가보완(기계)" xfId="2208" xr:uid="{00000000-0005-0000-0000-00009F080000}"/>
    <cellStyle name="Aee­ [_마곡보완" xfId="2209" xr:uid="{00000000-0005-0000-0000-0000A0080000}"/>
    <cellStyle name="Åëè­ [_마곡보완" xfId="2210" xr:uid="{00000000-0005-0000-0000-0000A1080000}"/>
    <cellStyle name="Aee­ [_신태인배수장제진기" xfId="2211" xr:uid="{00000000-0005-0000-0000-0000A2080000}"/>
    <cellStyle name="Åëè­ [_연동양수장" xfId="2212" xr:uid="{00000000-0005-0000-0000-0000A3080000}"/>
    <cellStyle name="Aee­ [_옥포배수갑문설계11.26" xfId="2213" xr:uid="{00000000-0005-0000-0000-0000A4080000}"/>
    <cellStyle name="Åëè­ [_율북보완" xfId="2214" xr:uid="{00000000-0005-0000-0000-0000A5080000}"/>
    <cellStyle name="Aee­ [_전체분" xfId="2215" xr:uid="{00000000-0005-0000-0000-0000A6080000}"/>
    <cellStyle name="Åëè­ [_접지양수장내역서" xfId="2216" xr:uid="{00000000-0005-0000-0000-0000A7080000}"/>
    <cellStyle name="ÅëÈ­ [0]_»óºÎ¼ö·®Áý°è " xfId="2217" xr:uid="{00000000-0005-0000-0000-0000A8080000}"/>
    <cellStyle name="AeE­ [0]_¼oAI¼º " xfId="2218" xr:uid="{00000000-0005-0000-0000-0000A9080000}"/>
    <cellStyle name="ÅëÈ­_»óºÎ¼ö·®Áý°è " xfId="2219" xr:uid="{00000000-0005-0000-0000-0000AA080000}"/>
    <cellStyle name="AeE­_¼oAI¼º " xfId="2220" xr:uid="{00000000-0005-0000-0000-0000AB080000}"/>
    <cellStyle name="ALIGNMENT" xfId="2221" xr:uid="{00000000-0005-0000-0000-0000AC080000}"/>
    <cellStyle name="Aþ" xfId="2222" xr:uid="{00000000-0005-0000-0000-0000AD080000}"/>
    <cellStyle name="Äþ" xfId="2223" xr:uid="{00000000-0005-0000-0000-0000AE080000}"/>
    <cellStyle name="Aþ_08정암보완추가단가" xfId="2224" xr:uid="{00000000-0005-0000-0000-0000AF080000}"/>
    <cellStyle name="Äþ_08정암보완추가단가" xfId="2225" xr:uid="{00000000-0005-0000-0000-0000B0080000}"/>
    <cellStyle name="Aþ_갑문배수장보완(03.6월)" xfId="2226" xr:uid="{00000000-0005-0000-0000-0000B1080000}"/>
    <cellStyle name="Äþ_공음배수장-2002년단가보완(기계)" xfId="2227" xr:uid="{00000000-0005-0000-0000-0000B2080000}"/>
    <cellStyle name="Aþ_마곡보완" xfId="2228" xr:uid="{00000000-0005-0000-0000-0000B3080000}"/>
    <cellStyle name="Äþ_마곡보완" xfId="2229" xr:uid="{00000000-0005-0000-0000-0000B4080000}"/>
    <cellStyle name="Aþ_신태인배수장제진기" xfId="2230" xr:uid="{00000000-0005-0000-0000-0000B5080000}"/>
    <cellStyle name="Äþ_연동양수장" xfId="2231" xr:uid="{00000000-0005-0000-0000-0000B6080000}"/>
    <cellStyle name="Aþ_옥포배수갑문설계11.26" xfId="2232" xr:uid="{00000000-0005-0000-0000-0000B7080000}"/>
    <cellStyle name="Äþ_율북보완" xfId="2233" xr:uid="{00000000-0005-0000-0000-0000B8080000}"/>
    <cellStyle name="Aþ_전체분" xfId="2234" xr:uid="{00000000-0005-0000-0000-0000B9080000}"/>
    <cellStyle name="Äþ_접지양수장내역서" xfId="2235" xr:uid="{00000000-0005-0000-0000-0000BA080000}"/>
    <cellStyle name="Aþ¸¶ [" xfId="2236" xr:uid="{00000000-0005-0000-0000-0000BB080000}"/>
    <cellStyle name="Äþ¸¶ [" xfId="2237" xr:uid="{00000000-0005-0000-0000-0000BC080000}"/>
    <cellStyle name="Aþ¸¶ [_08정암보완추가단가" xfId="2238" xr:uid="{00000000-0005-0000-0000-0000BD080000}"/>
    <cellStyle name="Äþ¸¶ [_08정암보완추가단가" xfId="2239" xr:uid="{00000000-0005-0000-0000-0000BE080000}"/>
    <cellStyle name="Aþ¸¶ [_갑문배수장보완(03.6월)" xfId="2240" xr:uid="{00000000-0005-0000-0000-0000BF080000}"/>
    <cellStyle name="Äþ¸¶ [_공음배수장-2002년단가보완(기계)" xfId="2241" xr:uid="{00000000-0005-0000-0000-0000C0080000}"/>
    <cellStyle name="Aþ¸¶ [_마곡보완" xfId="2242" xr:uid="{00000000-0005-0000-0000-0000C1080000}"/>
    <cellStyle name="Äþ¸¶ [_마곡보완" xfId="2243" xr:uid="{00000000-0005-0000-0000-0000C2080000}"/>
    <cellStyle name="Aþ¸¶ [_신태인배수장제진기" xfId="2244" xr:uid="{00000000-0005-0000-0000-0000C3080000}"/>
    <cellStyle name="Äþ¸¶ [_연동양수장" xfId="2245" xr:uid="{00000000-0005-0000-0000-0000C4080000}"/>
    <cellStyle name="Aþ¸¶ [_옥포배수갑문설계11.26" xfId="2246" xr:uid="{00000000-0005-0000-0000-0000C5080000}"/>
    <cellStyle name="Äþ¸¶ [_율북보완" xfId="2247" xr:uid="{00000000-0005-0000-0000-0000C6080000}"/>
    <cellStyle name="Aþ¸¶ [_전체분" xfId="2248" xr:uid="{00000000-0005-0000-0000-0000C7080000}"/>
    <cellStyle name="Äþ¸¶ [_접지양수장내역서" xfId="2249" xr:uid="{00000000-0005-0000-0000-0000C8080000}"/>
    <cellStyle name="ÄÞ¸¶ [0]_»óºÎ¼ö·®Áý°è " xfId="2250" xr:uid="{00000000-0005-0000-0000-0000C9080000}"/>
    <cellStyle name="AÞ¸¶ [0]_¼oAI¼º " xfId="2251" xr:uid="{00000000-0005-0000-0000-0000CA080000}"/>
    <cellStyle name="ÄÞ¸¶_»óºÎ¼ö·®Áý°è " xfId="2252" xr:uid="{00000000-0005-0000-0000-0000CB080000}"/>
    <cellStyle name="AÞ¸¶_¼oAI¼º " xfId="2253" xr:uid="{00000000-0005-0000-0000-0000CC080000}"/>
    <cellStyle name="Background" xfId="2254" xr:uid="{00000000-0005-0000-0000-0000CD080000}"/>
    <cellStyle name="BoldHdr" xfId="2255" xr:uid="{00000000-0005-0000-0000-0000CE080000}"/>
    <cellStyle name="C￥" xfId="2256" xr:uid="{00000000-0005-0000-0000-0000CF080000}"/>
    <cellStyle name="Ç¥" xfId="2257" xr:uid="{00000000-0005-0000-0000-0000D0080000}"/>
    <cellStyle name="C￥_08정암보완추가단가" xfId="2258" xr:uid="{00000000-0005-0000-0000-0000D1080000}"/>
    <cellStyle name="Ç¥_08정암보완추가단가" xfId="2259" xr:uid="{00000000-0005-0000-0000-0000D2080000}"/>
    <cellStyle name="C￥_갑문배수장보완(03.6월)" xfId="2260" xr:uid="{00000000-0005-0000-0000-0000D3080000}"/>
    <cellStyle name="Ç¥_공음배수장-2002년단가보완(기계)" xfId="2261" xr:uid="{00000000-0005-0000-0000-0000D4080000}"/>
    <cellStyle name="C￥_마곡보완" xfId="2262" xr:uid="{00000000-0005-0000-0000-0000D5080000}"/>
    <cellStyle name="Ç¥_마곡보완" xfId="2263" xr:uid="{00000000-0005-0000-0000-0000D6080000}"/>
    <cellStyle name="C￥_신태인배수장제진기" xfId="2264" xr:uid="{00000000-0005-0000-0000-0000D7080000}"/>
    <cellStyle name="Ç¥_연동양수장" xfId="2265" xr:uid="{00000000-0005-0000-0000-0000D8080000}"/>
    <cellStyle name="C￥_옥포배수갑문설계11.26" xfId="2266" xr:uid="{00000000-0005-0000-0000-0000D9080000}"/>
    <cellStyle name="Ç¥_율북보완" xfId="2267" xr:uid="{00000000-0005-0000-0000-0000DA080000}"/>
    <cellStyle name="C￥_전체분" xfId="2268" xr:uid="{00000000-0005-0000-0000-0000DB080000}"/>
    <cellStyle name="Ç¥_접지양수장내역서" xfId="2269" xr:uid="{00000000-0005-0000-0000-0000DC080000}"/>
    <cellStyle name="C￥AØ_  FAB AIA¤  " xfId="2270" xr:uid="{00000000-0005-0000-0000-0000DD080000}"/>
    <cellStyle name="Ç¥ÁØ_»óºÎ¼ö·®Áý°è " xfId="2271" xr:uid="{00000000-0005-0000-0000-0000DE080000}"/>
    <cellStyle name="Calc Currency (0)" xfId="2272" xr:uid="{00000000-0005-0000-0000-0000DF080000}"/>
    <cellStyle name="category" xfId="2273" xr:uid="{00000000-0005-0000-0000-0000E0080000}"/>
    <cellStyle name="ColHdr" xfId="2274" xr:uid="{00000000-0005-0000-0000-0000E1080000}"/>
    <cellStyle name="Column Headings" xfId="2275" xr:uid="{00000000-0005-0000-0000-0000E2080000}"/>
    <cellStyle name="Column Headings 2" xfId="2547" xr:uid="{980A6F1D-5A80-42E8-AC86-C9731C1DA0BC}"/>
    <cellStyle name="Comma" xfId="2276" xr:uid="{00000000-0005-0000-0000-0000E3080000}"/>
    <cellStyle name="Comma [0]_ SG&amp;A Bridge " xfId="2277" xr:uid="{00000000-0005-0000-0000-0000E4080000}"/>
    <cellStyle name="comma zerodec" xfId="2278" xr:uid="{00000000-0005-0000-0000-0000E5080000}"/>
    <cellStyle name="Comma_ SG&amp;A Bridge " xfId="2279" xr:uid="{00000000-0005-0000-0000-0000E6080000}"/>
    <cellStyle name="Comma0" xfId="2280" xr:uid="{00000000-0005-0000-0000-0000E7080000}"/>
    <cellStyle name="Company Info" xfId="2281" xr:uid="{00000000-0005-0000-0000-0000E8080000}"/>
    <cellStyle name="Contents Heading 1" xfId="2282" xr:uid="{00000000-0005-0000-0000-0000E9080000}"/>
    <cellStyle name="Contents Heading 2" xfId="2283" xr:uid="{00000000-0005-0000-0000-0000EA080000}"/>
    <cellStyle name="Contents Heading 3" xfId="2284" xr:uid="{00000000-0005-0000-0000-0000EB080000}"/>
    <cellStyle name="Copied" xfId="2285" xr:uid="{00000000-0005-0000-0000-0000EC080000}"/>
    <cellStyle name="CoverHeadline1" xfId="2286" xr:uid="{00000000-0005-0000-0000-0000ED080000}"/>
    <cellStyle name="CoverHeadline1 2" xfId="2546" xr:uid="{C63E5271-1D7F-4C6B-B81E-A4DA7016854C}"/>
    <cellStyle name="Curr" xfId="2287" xr:uid="{00000000-0005-0000-0000-0000EE080000}"/>
    <cellStyle name="Curr 2" xfId="2548" xr:uid="{B83B2439-AA42-465F-AC61-6A0A44A3D386}"/>
    <cellStyle name="Curr 3" xfId="2545" xr:uid="{F570E811-8A20-442D-8834-6C68CAB788B4}"/>
    <cellStyle name="Curren?_x0012_퐀_x0017_?" xfId="2288" xr:uid="{00000000-0005-0000-0000-0000EF080000}"/>
    <cellStyle name="Currenby_Cash&amp;DSO Chart" xfId="2289" xr:uid="{00000000-0005-0000-0000-0000F0080000}"/>
    <cellStyle name="Currency" xfId="2290" xr:uid="{00000000-0005-0000-0000-0000F1080000}"/>
    <cellStyle name="Currency [0]_ SG&amp;A Bridge " xfId="2291" xr:uid="{00000000-0005-0000-0000-0000F2080000}"/>
    <cellStyle name="Currency 2" xfId="2549" xr:uid="{C7344A46-F32F-42F3-A699-6C5E9DC466E7}"/>
    <cellStyle name="Currency 3" xfId="2544" xr:uid="{446E6207-3E2B-4A5D-959A-EF0797DD539E}"/>
    <cellStyle name="Currency_ SG&amp;A Bridge " xfId="2292" xr:uid="{00000000-0005-0000-0000-0000F3080000}"/>
    <cellStyle name="Currency0" xfId="2293" xr:uid="{00000000-0005-0000-0000-0000F4080000}"/>
    <cellStyle name="Currency0 2" xfId="2550" xr:uid="{8026C294-9F7E-40BD-AB0F-98E5440A978B}"/>
    <cellStyle name="Currency1" xfId="2294" xr:uid="{00000000-0005-0000-0000-0000F5080000}"/>
    <cellStyle name="Data" xfId="2295" xr:uid="{00000000-0005-0000-0000-0000F6080000}"/>
    <cellStyle name="Date" xfId="2296" xr:uid="{00000000-0005-0000-0000-0000F7080000}"/>
    <cellStyle name="Dezimal [0]_laroux" xfId="2297" xr:uid="{00000000-0005-0000-0000-0000F8080000}"/>
    <cellStyle name="Dezimal_laroux" xfId="2298" xr:uid="{00000000-0005-0000-0000-0000F9080000}"/>
    <cellStyle name="Display" xfId="2299" xr:uid="{00000000-0005-0000-0000-0000FA080000}"/>
    <cellStyle name="Display 2" xfId="2551" xr:uid="{1FE281DF-8ABC-432A-B560-252A7E5621AE}"/>
    <cellStyle name="Display 3" xfId="2543" xr:uid="{9849BB13-80A8-4BFA-B6D8-5E0827D30862}"/>
    <cellStyle name="Display Price" xfId="2300" xr:uid="{00000000-0005-0000-0000-0000FB080000}"/>
    <cellStyle name="Display Price 2" xfId="2552" xr:uid="{C8083624-AC6E-4492-96E6-A968A3396231}"/>
    <cellStyle name="Display Price 3" xfId="2542" xr:uid="{24AE6171-2F43-422F-A684-04151B40137B}"/>
    <cellStyle name="Dollar (zero dec)" xfId="2301" xr:uid="{00000000-0005-0000-0000-0000FC080000}"/>
    <cellStyle name="EA" xfId="2302" xr:uid="{00000000-0005-0000-0000-0000FD080000}"/>
    <cellStyle name="Entered" xfId="2303" xr:uid="{00000000-0005-0000-0000-0000FE080000}"/>
    <cellStyle name="F2" xfId="2304" xr:uid="{00000000-0005-0000-0000-0000FF080000}"/>
    <cellStyle name="F3" xfId="2305" xr:uid="{00000000-0005-0000-0000-000000090000}"/>
    <cellStyle name="F4" xfId="2306" xr:uid="{00000000-0005-0000-0000-000001090000}"/>
    <cellStyle name="F5" xfId="2307" xr:uid="{00000000-0005-0000-0000-000002090000}"/>
    <cellStyle name="F6" xfId="2308" xr:uid="{00000000-0005-0000-0000-000003090000}"/>
    <cellStyle name="F7" xfId="2309" xr:uid="{00000000-0005-0000-0000-000004090000}"/>
    <cellStyle name="F8" xfId="2310" xr:uid="{00000000-0005-0000-0000-000005090000}"/>
    <cellStyle name="FinePrint" xfId="2311" xr:uid="{00000000-0005-0000-0000-000006090000}"/>
    <cellStyle name="Fixed" xfId="2312" xr:uid="{00000000-0005-0000-0000-000007090000}"/>
    <cellStyle name="Grey" xfId="2313" xr:uid="{00000000-0005-0000-0000-000008090000}"/>
    <cellStyle name="HEADER" xfId="2314" xr:uid="{00000000-0005-0000-0000-000009090000}"/>
    <cellStyle name="Header1" xfId="2315" xr:uid="{00000000-0005-0000-0000-00000A090000}"/>
    <cellStyle name="Header2" xfId="2316" xr:uid="{00000000-0005-0000-0000-00000B090000}"/>
    <cellStyle name="Heading" xfId="2317" xr:uid="{00000000-0005-0000-0000-00000C090000}"/>
    <cellStyle name="Heading 1" xfId="2318" xr:uid="{00000000-0005-0000-0000-00000D090000}"/>
    <cellStyle name="Heading 2" xfId="2319" xr:uid="{00000000-0005-0000-0000-00000E090000}"/>
    <cellStyle name="Heading 3" xfId="2320" xr:uid="{00000000-0005-0000-0000-00000F090000}"/>
    <cellStyle name="Heading1" xfId="2321" xr:uid="{00000000-0005-0000-0000-000010090000}"/>
    <cellStyle name="Heading2" xfId="2322" xr:uid="{00000000-0005-0000-0000-000011090000}"/>
    <cellStyle name="Heading2Divider" xfId="2323" xr:uid="{00000000-0005-0000-0000-000012090000}"/>
    <cellStyle name="Heading2Divider 2" xfId="2553" xr:uid="{7419B715-5EF7-4271-ACAA-6DCC7911B302}"/>
    <cellStyle name="Heading2Divider 3" xfId="2541" xr:uid="{27257AE8-0151-45F9-8F8A-3C98D83F496B}"/>
    <cellStyle name="Helv8_PFD4.XLS" xfId="2324" xr:uid="{00000000-0005-0000-0000-000013090000}"/>
    <cellStyle name="Hyperlink_NEGS" xfId="2325" xr:uid="{00000000-0005-0000-0000-000014090000}"/>
    <cellStyle name="Input" xfId="2326" xr:uid="{00000000-0005-0000-0000-000015090000}"/>
    <cellStyle name="Input [yellow]" xfId="2327" xr:uid="{00000000-0005-0000-0000-000016090000}"/>
    <cellStyle name="Input 2" xfId="2554" xr:uid="{E8CAA0DE-4B2E-4482-A485-F2E9376ECAB3}"/>
    <cellStyle name="Input 3" xfId="2540" xr:uid="{2141C92E-D892-4CB2-9DE2-236059B57EB6}"/>
    <cellStyle name="Input Price" xfId="2328" xr:uid="{00000000-0005-0000-0000-000017090000}"/>
    <cellStyle name="Input Price 2" xfId="2555" xr:uid="{84ED5CBC-01C1-4A93-AF04-F06A89544608}"/>
    <cellStyle name="Input Quantity" xfId="2329" xr:uid="{00000000-0005-0000-0000-000018090000}"/>
    <cellStyle name="Input Quantity 2" xfId="2556" xr:uid="{B3F4B4D2-C5D2-4C15-98E8-1DA91FBF43AD}"/>
    <cellStyle name="Input Single Cell" xfId="2330" xr:uid="{00000000-0005-0000-0000-000019090000}"/>
    <cellStyle name="Input Single Cell 2" xfId="2557" xr:uid="{D8E2AC0E-2463-45D7-ABCA-80ED16E3E66D}"/>
    <cellStyle name="Input Single Cell 3" xfId="2539" xr:uid="{7AA1A722-49A9-459A-8DC0-77A238B4C741}"/>
    <cellStyle name="InputBodyCurr" xfId="2331" xr:uid="{00000000-0005-0000-0000-00001A090000}"/>
    <cellStyle name="InputBodyDate" xfId="2332" xr:uid="{00000000-0005-0000-0000-00001B090000}"/>
    <cellStyle name="InputBodyText" xfId="2333" xr:uid="{00000000-0005-0000-0000-00001C090000}"/>
    <cellStyle name="InputColor" xfId="2334" xr:uid="{00000000-0005-0000-0000-00001D090000}"/>
    <cellStyle name="Item" xfId="2335" xr:uid="{00000000-0005-0000-0000-00001E090000}"/>
    <cellStyle name="Item 2" xfId="2558" xr:uid="{D151C908-228B-4399-8EC2-2BDB796EA79C}"/>
    <cellStyle name="Item Input" xfId="2336" xr:uid="{00000000-0005-0000-0000-00001F090000}"/>
    <cellStyle name="kg" xfId="2337" xr:uid="{00000000-0005-0000-0000-000020090000}"/>
    <cellStyle name="M" xfId="2338" xr:uid="{00000000-0005-0000-0000-000021090000}"/>
    <cellStyle name="M3" xfId="2339" xr:uid="{00000000-0005-0000-0000-000022090000}"/>
    <cellStyle name="Milliers [0]_399GC10" xfId="2340" xr:uid="{00000000-0005-0000-0000-000023090000}"/>
    <cellStyle name="Milliers_399GC10" xfId="2341" xr:uid="{00000000-0005-0000-0000-000024090000}"/>
    <cellStyle name="Model" xfId="2342" xr:uid="{00000000-0005-0000-0000-000025090000}"/>
    <cellStyle name="Mon?aire [0]_399GC10" xfId="2343" xr:uid="{00000000-0005-0000-0000-000026090000}"/>
    <cellStyle name="Mon?aire_399GC10" xfId="2344" xr:uid="{00000000-0005-0000-0000-000027090000}"/>
    <cellStyle name="no dec" xfId="2345" xr:uid="{00000000-0005-0000-0000-000028090000}"/>
    <cellStyle name="normal" xfId="2346" xr:uid="{00000000-0005-0000-0000-000029090000}"/>
    <cellStyle name="Normal - Style1" xfId="2347" xr:uid="{00000000-0005-0000-0000-00002A090000}"/>
    <cellStyle name="Normal_ SG&amp;A Bridge " xfId="2348" xr:uid="{00000000-0005-0000-0000-00002B090000}"/>
    <cellStyle name="Œ…?æ맖?e [0.00]_laroux" xfId="2349" xr:uid="{00000000-0005-0000-0000-00002C090000}"/>
    <cellStyle name="Œ…?æ맖?e_laroux" xfId="2350" xr:uid="{00000000-0005-0000-0000-00002D090000}"/>
    <cellStyle name="Output Single Cell" xfId="2351" xr:uid="{00000000-0005-0000-0000-00002E090000}"/>
    <cellStyle name="Output Single Cell 2" xfId="2559" xr:uid="{5B797954-4369-42E7-B8AF-B22EF04A675F}"/>
    <cellStyle name="Output Single Cell 3" xfId="2538" xr:uid="{AC13C2E9-98AF-4574-9D1A-E66EDA8D7D89}"/>
    <cellStyle name="Package Size" xfId="2352" xr:uid="{00000000-0005-0000-0000-00002F090000}"/>
    <cellStyle name="Package Size 2" xfId="2560" xr:uid="{0E3A38CB-2394-4E3C-BF07-AE9882D09B54}"/>
    <cellStyle name="Percent" xfId="2353" xr:uid="{00000000-0005-0000-0000-000030090000}"/>
    <cellStyle name="Percent [2]" xfId="2354" xr:uid="{00000000-0005-0000-0000-000031090000}"/>
    <cellStyle name="Percent_08-오산리수량산출" xfId="2355" xr:uid="{00000000-0005-0000-0000-000032090000}"/>
    <cellStyle name="Print Heading" xfId="2356" xr:uid="{00000000-0005-0000-0000-000033090000}"/>
    <cellStyle name="Recipe" xfId="2357" xr:uid="{00000000-0005-0000-0000-000034090000}"/>
    <cellStyle name="Recipe Heading" xfId="2358" xr:uid="{00000000-0005-0000-0000-000035090000}"/>
    <cellStyle name="Revenue" xfId="2359" xr:uid="{00000000-0005-0000-0000-000036090000}"/>
    <cellStyle name="RevList" xfId="2360" xr:uid="{00000000-0005-0000-0000-000037090000}"/>
    <cellStyle name="RptTitle" xfId="2361" xr:uid="{00000000-0005-0000-0000-000038090000}"/>
    <cellStyle name="Standard_laroux" xfId="2362" xr:uid="{00000000-0005-0000-0000-000039090000}"/>
    <cellStyle name="subhead" xfId="2363" xr:uid="{00000000-0005-0000-0000-00003A090000}"/>
    <cellStyle name="SubHeading" xfId="2364" xr:uid="{00000000-0005-0000-0000-00003B090000}"/>
    <cellStyle name="Subtotal" xfId="2365" xr:uid="{00000000-0005-0000-0000-00003C090000}"/>
    <cellStyle name="Subtotal 1" xfId="2366" xr:uid="{00000000-0005-0000-0000-00003D090000}"/>
    <cellStyle name="Subtotal 1 2" xfId="2561" xr:uid="{F132FC92-9624-4A05-8C2E-40BA59391130}"/>
    <cellStyle name="Suggested Quantity" xfId="2367" xr:uid="{00000000-0005-0000-0000-00003E090000}"/>
    <cellStyle name="Suggested Quantity 2" xfId="2562" xr:uid="{4727AF10-0764-43BF-A78F-C05ACD10F9CD}"/>
    <cellStyle name="Title" xfId="2368" xr:uid="{00000000-0005-0000-0000-00003F090000}"/>
    <cellStyle name="Total" xfId="2369" xr:uid="{00000000-0005-0000-0000-000040090000}"/>
    <cellStyle name="TotalCurr" xfId="2370" xr:uid="{00000000-0005-0000-0000-000041090000}"/>
    <cellStyle name="TotalHdr" xfId="2371" xr:uid="{00000000-0005-0000-0000-000042090000}"/>
    <cellStyle name="UM" xfId="2372" xr:uid="{00000000-0005-0000-0000-000043090000}"/>
    <cellStyle name="W?rung [0]_laroux" xfId="2373" xr:uid="{00000000-0005-0000-0000-000044090000}"/>
    <cellStyle name="W?rung_laroux" xfId="2374" xr:uid="{00000000-0005-0000-0000-000045090000}"/>
    <cellStyle name="강조색1" xfId="2375" builtinId="29" customBuiltin="1"/>
    <cellStyle name="강조색2" xfId="2376" builtinId="33" customBuiltin="1"/>
    <cellStyle name="강조색3" xfId="2377" builtinId="37" customBuiltin="1"/>
    <cellStyle name="강조색4" xfId="2378" builtinId="41" customBuiltin="1"/>
    <cellStyle name="강조색5" xfId="2379" builtinId="45" customBuiltin="1"/>
    <cellStyle name="강조색6" xfId="2380" builtinId="49" customBuiltin="1"/>
    <cellStyle name="경고문" xfId="2381" builtinId="11" customBuiltin="1"/>
    <cellStyle name="계산" xfId="2382" builtinId="22" customBuiltin="1"/>
    <cellStyle name="계산 2" xfId="2563" xr:uid="{2B084BC1-F932-410E-998E-7D2F80BA921E}"/>
    <cellStyle name="계산 3" xfId="2537" xr:uid="{C014EBA0-753B-4F42-A22C-75EEF321F5F6}"/>
    <cellStyle name="고정소숫점" xfId="2383" xr:uid="{00000000-0005-0000-0000-00004E090000}"/>
    <cellStyle name="고정출력1" xfId="2384" xr:uid="{00000000-0005-0000-0000-00004F090000}"/>
    <cellStyle name="고정출력2" xfId="2385" xr:uid="{00000000-0005-0000-0000-000050090000}"/>
    <cellStyle name="공사원가계산서(조경)" xfId="2386" xr:uid="{00000000-0005-0000-0000-000051090000}"/>
    <cellStyle name="咬訌裝?INCOM1" xfId="2387" xr:uid="{00000000-0005-0000-0000-000052090000}"/>
    <cellStyle name="咬訌裝?INCOM10" xfId="2388" xr:uid="{00000000-0005-0000-0000-000053090000}"/>
    <cellStyle name="咬訌裝?INCOM2" xfId="2389" xr:uid="{00000000-0005-0000-0000-000054090000}"/>
    <cellStyle name="咬訌裝?INCOM3" xfId="2390" xr:uid="{00000000-0005-0000-0000-000055090000}"/>
    <cellStyle name="咬訌裝?INCOM4" xfId="2391" xr:uid="{00000000-0005-0000-0000-000056090000}"/>
    <cellStyle name="咬訌裝?INCOM5" xfId="2392" xr:uid="{00000000-0005-0000-0000-000057090000}"/>
    <cellStyle name="咬訌裝?INCOM6" xfId="2393" xr:uid="{00000000-0005-0000-0000-000058090000}"/>
    <cellStyle name="咬訌裝?INCOM7" xfId="2394" xr:uid="{00000000-0005-0000-0000-000059090000}"/>
    <cellStyle name="咬訌裝?INCOM8" xfId="2395" xr:uid="{00000000-0005-0000-0000-00005A090000}"/>
    <cellStyle name="咬訌裝?INCOM9" xfId="2396" xr:uid="{00000000-0005-0000-0000-00005B090000}"/>
    <cellStyle name="咬訌裝?PRIB11" xfId="2397" xr:uid="{00000000-0005-0000-0000-00005C090000}"/>
    <cellStyle name="국종합건설" xfId="2398" xr:uid="{00000000-0005-0000-0000-00005D090000}"/>
    <cellStyle name="글씨빵강" xfId="2399" xr:uid="{00000000-0005-0000-0000-00005E090000}"/>
    <cellStyle name="나쁨" xfId="2400" builtinId="27" customBuiltin="1"/>
    <cellStyle name="날짜" xfId="2401" xr:uid="{00000000-0005-0000-0000-000060090000}"/>
    <cellStyle name="내역서" xfId="2402" xr:uid="{00000000-0005-0000-0000-000061090000}"/>
    <cellStyle name="단위" xfId="2403" xr:uid="{00000000-0005-0000-0000-000062090000}"/>
    <cellStyle name="달러" xfId="2404" xr:uid="{00000000-0005-0000-0000-000063090000}"/>
    <cellStyle name="뒤에 오는 하이퍼링크_2001 가로수 식재공사" xfId="2405" xr:uid="{00000000-0005-0000-0000-000064090000}"/>
    <cellStyle name="똿뗦먛귟 [0.00]_PRODUCT DETAIL Q1" xfId="2406" xr:uid="{00000000-0005-0000-0000-000065090000}"/>
    <cellStyle name="똿뗦먛귟_PRODUCT DETAIL Q1" xfId="2407" xr:uid="{00000000-0005-0000-0000-000066090000}"/>
    <cellStyle name="메모" xfId="2408" builtinId="10" customBuiltin="1"/>
    <cellStyle name="메모 2" xfId="2564" xr:uid="{77E094A6-9DBA-4515-BE2C-27332689D0C7}"/>
    <cellStyle name="메모 3" xfId="2536" xr:uid="{768B3F50-C18B-4B40-993F-917C5C29B0E6}"/>
    <cellStyle name="믅됞 [0.00]_PRODUCT DETAIL Q1" xfId="2409" xr:uid="{00000000-0005-0000-0000-000068090000}"/>
    <cellStyle name="믅됞_PRODUCT DETAIL Q1" xfId="2410" xr:uid="{00000000-0005-0000-0000-000069090000}"/>
    <cellStyle name="백분율 2" xfId="2411" xr:uid="{00000000-0005-0000-0000-00006A090000}"/>
    <cellStyle name="백분율 3" xfId="2412" xr:uid="{00000000-0005-0000-0000-00006B090000}"/>
    <cellStyle name="백분율 4" xfId="2413" xr:uid="{00000000-0005-0000-0000-00006C090000}"/>
    <cellStyle name="보통" xfId="2414" builtinId="28" customBuiltin="1"/>
    <cellStyle name="뷭?_BOOKSHIP" xfId="2415" xr:uid="{00000000-0005-0000-0000-00006E090000}"/>
    <cellStyle name="설계서" xfId="2416" xr:uid="{00000000-0005-0000-0000-00006F090000}"/>
    <cellStyle name="설명 텍스트" xfId="2417" builtinId="53" customBuiltin="1"/>
    <cellStyle name="셀 확인" xfId="2418" builtinId="23" customBuiltin="1"/>
    <cellStyle name="수량산출" xfId="2419" xr:uid="{00000000-0005-0000-0000-000072090000}"/>
    <cellStyle name="숫자" xfId="2420" xr:uid="{00000000-0005-0000-0000-000073090000}"/>
    <cellStyle name="숫자(R)" xfId="2421" xr:uid="{00000000-0005-0000-0000-000074090000}"/>
    <cellStyle name="쉼표 [0]" xfId="2422" builtinId="6"/>
    <cellStyle name="쉼표 [0] 2" xfId="2423" xr:uid="{00000000-0005-0000-0000-000076090000}"/>
    <cellStyle name="쉼표 [0] 2 2" xfId="2424" xr:uid="{00000000-0005-0000-0000-000077090000}"/>
    <cellStyle name="쉼표 [0] 2 2 2" xfId="2566" xr:uid="{64D8C59F-EA13-4578-BEE2-EEBDBE9CA437}"/>
    <cellStyle name="쉼표 [0] 2 3" xfId="2425" xr:uid="{00000000-0005-0000-0000-000078090000}"/>
    <cellStyle name="쉼표 [0] 3" xfId="2426" xr:uid="{00000000-0005-0000-0000-000079090000}"/>
    <cellStyle name="쉼표 [0] 4" xfId="2427" xr:uid="{00000000-0005-0000-0000-00007A090000}"/>
    <cellStyle name="쉼표 [0] 4 2" xfId="2567" xr:uid="{75A1C48B-A860-4DA6-A0CB-5C8309042F2B}"/>
    <cellStyle name="쉼표 [0] 5" xfId="2531" xr:uid="{00000000-0005-0000-0000-00007B090000}"/>
    <cellStyle name="쉼표 [0] 6" xfId="2428" xr:uid="{00000000-0005-0000-0000-00007C090000}"/>
    <cellStyle name="쉼표 [0] 7" xfId="2525" xr:uid="{00000000-0005-0000-0000-00007D090000}"/>
    <cellStyle name="쉼표 [0] 7 2" xfId="2573" xr:uid="{EC2F09F3-EC1F-428A-AA51-D6D29E143A9E}"/>
    <cellStyle name="쉼표 [0] 8" xfId="2565" xr:uid="{9CF1C6FB-DCAA-43BB-BCAC-5AA2DC5893C6}"/>
    <cellStyle name="쉼표 [0]_덕림간선" xfId="2429" xr:uid="{00000000-0005-0000-0000-00007E090000}"/>
    <cellStyle name="쉼표 [0]_부대,지급자재(08보완)" xfId="2430" xr:uid="{00000000-0005-0000-0000-00007F090000}"/>
    <cellStyle name="스타일 1" xfId="2431" xr:uid="{00000000-0005-0000-0000-000080090000}"/>
    <cellStyle name="안건회계법인" xfId="2432" xr:uid="{00000000-0005-0000-0000-000081090000}"/>
    <cellStyle name="연결된 셀" xfId="2433" builtinId="24" customBuiltin="1"/>
    <cellStyle name="왼쪽2" xfId="2434" xr:uid="{00000000-0005-0000-0000-000083090000}"/>
    <cellStyle name="요약" xfId="2435" builtinId="25" customBuiltin="1"/>
    <cellStyle name="요약 2" xfId="2568" xr:uid="{9D2BD95A-AE1E-4039-916F-A5DD8366CED3}"/>
    <cellStyle name="요약 3" xfId="2535" xr:uid="{F25189C4-5FD2-46A6-97F3-5A8CF1B3B7BF}"/>
    <cellStyle name="원" xfId="2436" xr:uid="{00000000-0005-0000-0000-000085090000}"/>
    <cellStyle name="원_2001년 9월" xfId="2437" xr:uid="{00000000-0005-0000-0000-000086090000}"/>
    <cellStyle name="원_2001년 9월 일위" xfId="2438" xr:uid="{00000000-0005-0000-0000-000087090000}"/>
    <cellStyle name="원_2001년7월내역" xfId="2439" xr:uid="{00000000-0005-0000-0000-000088090000}"/>
    <cellStyle name="원_2001년8월내역" xfId="2440" xr:uid="{00000000-0005-0000-0000-000089090000}"/>
    <cellStyle name="원_2002년 설치" xfId="2441" xr:uid="{00000000-0005-0000-0000-00008A090000}"/>
    <cellStyle name="원_2002년 합판거푸집" xfId="2442" xr:uid="{00000000-0005-0000-0000-00008B090000}"/>
    <cellStyle name="원_2002년2,3월" xfId="2443" xr:uid="{00000000-0005-0000-0000-00008C090000}"/>
    <cellStyle name="원_가회지구기계화경작로설계서1" xfId="2444" xr:uid="{00000000-0005-0000-0000-00008D090000}"/>
    <cellStyle name="원_결재(관동취입보)" xfId="2445" xr:uid="{00000000-0005-0000-0000-00008E090000}"/>
    <cellStyle name="원_공사비2001-06" xfId="2446" xr:uid="{00000000-0005-0000-0000-00008F090000}"/>
    <cellStyle name="원_공사비2001-07" xfId="2447" xr:uid="{00000000-0005-0000-0000-000090090000}"/>
    <cellStyle name="원_구조물공" xfId="2448" xr:uid="{00000000-0005-0000-0000-000091090000}"/>
    <cellStyle name="원_금계공사비" xfId="2449" xr:uid="{00000000-0005-0000-0000-000092090000}"/>
    <cellStyle name="원_남광TS-60B(둔기교)" xfId="2450" xr:uid="{00000000-0005-0000-0000-000093090000}"/>
    <cellStyle name="원_내역표지" xfId="2451" xr:uid="{00000000-0005-0000-0000-000094090000}"/>
    <cellStyle name="원_두리지구기계화경작로설계서1" xfId="2452" xr:uid="{00000000-0005-0000-0000-000095090000}"/>
    <cellStyle name="원_마정지구기계화경작로설계서1" xfId="2453" xr:uid="{00000000-0005-0000-0000-000096090000}"/>
    <cellStyle name="원_매내천" xfId="2454" xr:uid="{00000000-0005-0000-0000-000097090000}"/>
    <cellStyle name="원_매내천_수량산출" xfId="2455" xr:uid="{00000000-0005-0000-0000-000098090000}"/>
    <cellStyle name="원_매내천_수량산출_1" xfId="2456" xr:uid="{00000000-0005-0000-0000-000099090000}"/>
    <cellStyle name="원_매내천_수량산출서1" xfId="2457" xr:uid="{00000000-0005-0000-0000-00009A090000}"/>
    <cellStyle name="원_발산지구기계화경작로설계서1" xfId="2458" xr:uid="{00000000-0005-0000-0000-00009B090000}"/>
    <cellStyle name="원_배수공" xfId="2459" xr:uid="{00000000-0005-0000-0000-00009C090000}"/>
    <cellStyle name="원_보성회령제사통-변경1" xfId="2460" xr:uid="{00000000-0005-0000-0000-00009D090000}"/>
    <cellStyle name="원_세풍승인" xfId="2461" xr:uid="{00000000-0005-0000-0000-00009E090000}"/>
    <cellStyle name="원_수량산출" xfId="2462" xr:uid="{00000000-0005-0000-0000-00009F090000}"/>
    <cellStyle name="원_수량산출_1" xfId="2463" xr:uid="{00000000-0005-0000-0000-0000A0090000}"/>
    <cellStyle name="원_수량산출_2" xfId="2464" xr:uid="{00000000-0005-0000-0000-0000A1090000}"/>
    <cellStyle name="원_수량산출서1" xfId="2465" xr:uid="{00000000-0005-0000-0000-0000A2090000}"/>
    <cellStyle name="원_순천구룡" xfId="2466" xr:uid="{00000000-0005-0000-0000-0000A3090000}"/>
    <cellStyle name="원_순천지부구룡해룡" xfId="2467" xr:uid="{00000000-0005-0000-0000-0000A4090000}"/>
    <cellStyle name="원_압입단가" xfId="2468" xr:uid="{00000000-0005-0000-0000-0000A5090000}"/>
    <cellStyle name="원_용지조서" xfId="2469" xr:uid="{00000000-0005-0000-0000-0000A6090000}"/>
    <cellStyle name="원_장흥광평양수장" xfId="2470" xr:uid="{00000000-0005-0000-0000-0000A7090000}"/>
    <cellStyle name="원_전북 용산지구 다단 21×1.2-2련(020417)" xfId="2471" xr:uid="{00000000-0005-0000-0000-0000A8090000}"/>
    <cellStyle name="원_정동지구기계화경작로설계서1" xfId="2472" xr:uid="{00000000-0005-0000-0000-0000A9090000}"/>
    <cellStyle name="원_진도 보전지구" xfId="2473" xr:uid="{00000000-0005-0000-0000-0000AA090000}"/>
    <cellStyle name="원_초평지구기계화경작로설계서1" xfId="2474" xr:uid="{00000000-0005-0000-0000-0000AB090000}"/>
    <cellStyle name="원_취입보기계공사비" xfId="2475" xr:uid="{00000000-0005-0000-0000-0000AC090000}"/>
    <cellStyle name="원_포장" xfId="2476" xr:uid="{00000000-0005-0000-0000-0000AD090000}"/>
    <cellStyle name="원_합판거푸집" xfId="2477" xr:uid="{00000000-0005-0000-0000-0000AE090000}"/>
    <cellStyle name="유상진" xfId="2478" xr:uid="{00000000-0005-0000-0000-0000AF090000}"/>
    <cellStyle name="을지" xfId="2479" xr:uid="{00000000-0005-0000-0000-0000B0090000}"/>
    <cellStyle name="을지 2" xfId="2569" xr:uid="{0E9EBA39-E454-4B6C-832D-F8F75C0402A8}"/>
    <cellStyle name="을지 3" xfId="2534" xr:uid="{4229FE83-0BCF-4EE4-A286-EAE4EE99674F}"/>
    <cellStyle name="입력" xfId="2480" builtinId="20" customBuiltin="1"/>
    <cellStyle name="입력 2" xfId="2570" xr:uid="{B0AAEC71-DA71-4D6F-92FF-3B92C62FE1A1}"/>
    <cellStyle name="입력 3" xfId="2533" xr:uid="{D5A66502-5ECC-4C1F-912D-1F8A3C5C54EE}"/>
    <cellStyle name="자리수" xfId="2481" xr:uid="{00000000-0005-0000-0000-0000B2090000}"/>
    <cellStyle name="자리수0" xfId="2482" xr:uid="{00000000-0005-0000-0000-0000B3090000}"/>
    <cellStyle name="제목" xfId="2483" builtinId="15" customBuiltin="1"/>
    <cellStyle name="제목 1" xfId="2484" builtinId="16" customBuiltin="1"/>
    <cellStyle name="제목 2" xfId="2485" builtinId="17" customBuiltin="1"/>
    <cellStyle name="제목 3" xfId="2486" builtinId="18" customBuiltin="1"/>
    <cellStyle name="제목 4" xfId="2487" builtinId="19" customBuiltin="1"/>
    <cellStyle name="좋음" xfId="2488" builtinId="26" customBuiltin="1"/>
    <cellStyle name="지정되지 않음" xfId="2489" xr:uid="{00000000-0005-0000-0000-0000BA090000}"/>
    <cellStyle name="출력" xfId="2490" builtinId="21" customBuiltin="1"/>
    <cellStyle name="출력 2" xfId="2571" xr:uid="{5CA11D50-72CB-4BD4-A411-65670C00E4A5}"/>
    <cellStyle name="출력 3" xfId="2532" xr:uid="{89E2A15B-6016-4BF4-878B-5BEB84C337A3}"/>
    <cellStyle name="콤마 [0]" xfId="2491" xr:uid="{00000000-0005-0000-0000-0000BC090000}"/>
    <cellStyle name="콤마 [0] 2" xfId="2572" xr:uid="{2DC7082F-31A4-4567-8CB2-1C2E8F6E5D9B}"/>
    <cellStyle name="콤마 [1]" xfId="2492" xr:uid="{00000000-0005-0000-0000-0000BD090000}"/>
    <cellStyle name="콤마 &lt;0&gt;" xfId="2493" xr:uid="{00000000-0005-0000-0000-0000BE090000}"/>
    <cellStyle name="콤마[ ]" xfId="2494" xr:uid="{00000000-0005-0000-0000-0000BF090000}"/>
    <cellStyle name="콤마[*]" xfId="2495" xr:uid="{00000000-0005-0000-0000-0000C0090000}"/>
    <cellStyle name="콤마[.]" xfId="2496" xr:uid="{00000000-0005-0000-0000-0000C1090000}"/>
    <cellStyle name="콤마[0]" xfId="2497" xr:uid="{00000000-0005-0000-0000-0000C2090000}"/>
    <cellStyle name="콤마_ 견적기준 FLOW " xfId="2498" xr:uid="{00000000-0005-0000-0000-0000C3090000}"/>
    <cellStyle name="퍼센트" xfId="2499" xr:uid="{00000000-0005-0000-0000-0000C4090000}"/>
    <cellStyle name="표준" xfId="0" builtinId="0"/>
    <cellStyle name="표준 11" xfId="2530" xr:uid="{00000000-0005-0000-0000-0000C6090000}"/>
    <cellStyle name="표준 2" xfId="2500" xr:uid="{00000000-0005-0000-0000-0000C7090000}"/>
    <cellStyle name="표준 2 2" xfId="2501" xr:uid="{00000000-0005-0000-0000-0000C8090000}"/>
    <cellStyle name="표준 2 2 2" xfId="2527" xr:uid="{00000000-0005-0000-0000-0000C9090000}"/>
    <cellStyle name="표준 26" xfId="2502" xr:uid="{00000000-0005-0000-0000-0000CA090000}"/>
    <cellStyle name="표준 3" xfId="2503" xr:uid="{00000000-0005-0000-0000-0000CB090000}"/>
    <cellStyle name="표준 3 2" xfId="2504" xr:uid="{00000000-0005-0000-0000-0000CC090000}"/>
    <cellStyle name="표준 3 3" xfId="2505" xr:uid="{00000000-0005-0000-0000-0000CD090000}"/>
    <cellStyle name="표준 3 4" xfId="2506" xr:uid="{00000000-0005-0000-0000-0000CE090000}"/>
    <cellStyle name="표준 4" xfId="2507" xr:uid="{00000000-0005-0000-0000-0000CF090000}"/>
    <cellStyle name="표준 5" xfId="2529" xr:uid="{00000000-0005-0000-0000-0000D0090000}"/>
    <cellStyle name="표준 5 2" xfId="2508" xr:uid="{00000000-0005-0000-0000-0000D1090000}"/>
    <cellStyle name="표준 5 3" xfId="2528" xr:uid="{00000000-0005-0000-0000-0000D2090000}"/>
    <cellStyle name="標準_Akia(F）-8" xfId="2509" xr:uid="{00000000-0005-0000-0000-0000D3090000}"/>
    <cellStyle name="표준_공사비_마정제수문" xfId="2526" xr:uid="{00000000-0005-0000-0000-0000D4090000}"/>
    <cellStyle name="표준_부대,지급자재(08보완)" xfId="2510" xr:uid="{00000000-0005-0000-0000-0000D5090000}"/>
    <cellStyle name="표준_수량1" xfId="2511" xr:uid="{00000000-0005-0000-0000-0000D6090000}"/>
    <cellStyle name="표준_신규2005" xfId="2512" xr:uid="{00000000-0005-0000-0000-0000D7090000}"/>
    <cellStyle name="표준_신당공사_마정제수문" xfId="2513" xr:uid="{00000000-0005-0000-0000-0000D8090000}"/>
    <cellStyle name="표준_양배수장(2004년-하반기)" xfId="2514" xr:uid="{00000000-0005-0000-0000-0000D9090000}"/>
    <cellStyle name="표준_오마재료계산서" xfId="2515" xr:uid="{00000000-0005-0000-0000-0000DA090000}"/>
    <cellStyle name="표준_전체분" xfId="2516" xr:uid="{00000000-0005-0000-0000-0000DB090000}"/>
    <cellStyle name="표준_점상양수장" xfId="2517" xr:uid="{00000000-0005-0000-0000-0000DC090000}"/>
    <cellStyle name="표준_점상양수장_마정제수문" xfId="2518" xr:uid="{00000000-0005-0000-0000-0000DD090000}"/>
    <cellStyle name="표준_정암지구전체분내역" xfId="2519" xr:uid="{00000000-0005-0000-0000-0000DE090000}"/>
    <cellStyle name="표준_지급자재총괄" xfId="2520" xr:uid="{00000000-0005-0000-0000-0000DF090000}"/>
    <cellStyle name="표준1" xfId="2521" xr:uid="{00000000-0005-0000-0000-0000E0090000}"/>
    <cellStyle name="합산" xfId="2522" xr:uid="{00000000-0005-0000-0000-0000E1090000}"/>
    <cellStyle name="화폐기호" xfId="2523" xr:uid="{00000000-0005-0000-0000-0000E2090000}"/>
    <cellStyle name="화폐기호0" xfId="2524" xr:uid="{00000000-0005-0000-0000-0000E3090000}"/>
  </cellStyles>
  <dxfs count="0"/>
  <tableStyles count="0" defaultTableStyle="TableStyleMedium9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4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7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2.xml"/><Relationship Id="rId40" Type="http://schemas.openxmlformats.org/officeDocument/2006/relationships/externalLink" Target="externalLinks/externalLink5.xml"/><Relationship Id="rId45" Type="http://schemas.openxmlformats.org/officeDocument/2006/relationships/externalLink" Target="externalLinks/externalLink1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1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8.xml"/><Relationship Id="rId48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3.xml"/><Relationship Id="rId46" Type="http://schemas.openxmlformats.org/officeDocument/2006/relationships/externalLink" Target="externalLinks/externalLink11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243841</xdr:colOff>
      <xdr:row>13</xdr:row>
      <xdr:rowOff>175259</xdr:rowOff>
    </xdr:from>
    <xdr:to>
      <xdr:col>2</xdr:col>
      <xdr:colOff>942976</xdr:colOff>
      <xdr:row>14</xdr:row>
      <xdr:rowOff>413385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1641" y="4823459"/>
          <a:ext cx="699135" cy="55054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441960</xdr:colOff>
      <xdr:row>7</xdr:row>
      <xdr:rowOff>0</xdr:rowOff>
    </xdr:from>
    <xdr:to>
      <xdr:col>5</xdr:col>
      <xdr:colOff>441960</xdr:colOff>
      <xdr:row>7</xdr:row>
      <xdr:rowOff>0</xdr:rowOff>
    </xdr:to>
    <xdr:sp macro="" textlink="">
      <xdr:nvSpPr>
        <xdr:cNvPr id="1408482" name="Line 81">
          <a:extLst>
            <a:ext uri="{FF2B5EF4-FFF2-40B4-BE49-F238E27FC236}">
              <a16:creationId xmlns:a16="http://schemas.microsoft.com/office/drawing/2014/main" id="{00000000-0008-0000-0300-0000E27D1500}"/>
            </a:ext>
          </a:extLst>
        </xdr:cNvPr>
        <xdr:cNvSpPr>
          <a:spLocks noChangeShapeType="1"/>
        </xdr:cNvSpPr>
      </xdr:nvSpPr>
      <xdr:spPr bwMode="auto">
        <a:xfrm>
          <a:off x="4556760" y="1440180"/>
          <a:ext cx="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441960</xdr:colOff>
      <xdr:row>35</xdr:row>
      <xdr:rowOff>0</xdr:rowOff>
    </xdr:from>
    <xdr:to>
      <xdr:col>5</xdr:col>
      <xdr:colOff>441960</xdr:colOff>
      <xdr:row>35</xdr:row>
      <xdr:rowOff>0</xdr:rowOff>
    </xdr:to>
    <xdr:sp macro="" textlink="">
      <xdr:nvSpPr>
        <xdr:cNvPr id="4" name="Line 81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 bwMode="auto">
        <a:xfrm>
          <a:off x="5068389" y="1632857"/>
          <a:ext cx="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441960</xdr:colOff>
      <xdr:row>56</xdr:row>
      <xdr:rowOff>0</xdr:rowOff>
    </xdr:from>
    <xdr:to>
      <xdr:col>5</xdr:col>
      <xdr:colOff>441960</xdr:colOff>
      <xdr:row>56</xdr:row>
      <xdr:rowOff>0</xdr:rowOff>
    </xdr:to>
    <xdr:sp macro="" textlink="">
      <xdr:nvSpPr>
        <xdr:cNvPr id="5" name="Line 81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 bwMode="auto">
        <a:xfrm>
          <a:off x="5068389" y="1632857"/>
          <a:ext cx="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441960</xdr:colOff>
      <xdr:row>77</xdr:row>
      <xdr:rowOff>0</xdr:rowOff>
    </xdr:from>
    <xdr:to>
      <xdr:col>5</xdr:col>
      <xdr:colOff>441960</xdr:colOff>
      <xdr:row>77</xdr:row>
      <xdr:rowOff>0</xdr:rowOff>
    </xdr:to>
    <xdr:sp macro="" textlink="">
      <xdr:nvSpPr>
        <xdr:cNvPr id="6" name="Line 8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 bwMode="auto">
        <a:xfrm>
          <a:off x="5068389" y="12804321"/>
          <a:ext cx="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121228</xdr:colOff>
      <xdr:row>3</xdr:row>
      <xdr:rowOff>86590</xdr:rowOff>
    </xdr:from>
    <xdr:to>
      <xdr:col>9</xdr:col>
      <xdr:colOff>865909</xdr:colOff>
      <xdr:row>29</xdr:row>
      <xdr:rowOff>138546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228" y="848590"/>
          <a:ext cx="9005454" cy="5905501"/>
        </a:xfrm>
        <a:prstGeom prst="rect">
          <a:avLst/>
        </a:prstGeom>
      </xdr:spPr>
    </xdr:pic>
    <xdr:clientData/>
  </xdr:twoCellAnchor>
  <xdr:twoCellAnchor editAs="oneCell">
    <xdr:from>
      <xdr:col>0</xdr:col>
      <xdr:colOff>86591</xdr:colOff>
      <xdr:row>31</xdr:row>
      <xdr:rowOff>69273</xdr:rowOff>
    </xdr:from>
    <xdr:to>
      <xdr:col>4</xdr:col>
      <xdr:colOff>865909</xdr:colOff>
      <xdr:row>50</xdr:row>
      <xdr:rowOff>121228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591" y="7083137"/>
          <a:ext cx="4450773" cy="3515591"/>
        </a:xfrm>
        <a:prstGeom prst="rect">
          <a:avLst/>
        </a:prstGeom>
      </xdr:spPr>
    </xdr:pic>
    <xdr:clientData/>
  </xdr:twoCellAnchor>
  <xdr:twoCellAnchor editAs="oneCell">
    <xdr:from>
      <xdr:col>5</xdr:col>
      <xdr:colOff>69273</xdr:colOff>
      <xdr:row>31</xdr:row>
      <xdr:rowOff>69272</xdr:rowOff>
    </xdr:from>
    <xdr:to>
      <xdr:col>9</xdr:col>
      <xdr:colOff>908282</xdr:colOff>
      <xdr:row>50</xdr:row>
      <xdr:rowOff>103909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58591" y="7083136"/>
          <a:ext cx="4510464" cy="3498273"/>
        </a:xfrm>
        <a:prstGeom prst="rect">
          <a:avLst/>
        </a:prstGeom>
      </xdr:spPr>
    </xdr:pic>
    <xdr:clientData/>
  </xdr:twoCellAnchor>
  <xdr:twoCellAnchor editAs="oneCell">
    <xdr:from>
      <xdr:col>0</xdr:col>
      <xdr:colOff>86591</xdr:colOff>
      <xdr:row>52</xdr:row>
      <xdr:rowOff>69273</xdr:rowOff>
    </xdr:from>
    <xdr:to>
      <xdr:col>4</xdr:col>
      <xdr:colOff>831272</xdr:colOff>
      <xdr:row>71</xdr:row>
      <xdr:rowOff>71688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6591" y="10893137"/>
          <a:ext cx="4416136" cy="3466051"/>
        </a:xfrm>
        <a:prstGeom prst="rect">
          <a:avLst/>
        </a:prstGeom>
      </xdr:spPr>
    </xdr:pic>
    <xdr:clientData/>
  </xdr:twoCellAnchor>
  <xdr:twoCellAnchor editAs="oneCell">
    <xdr:from>
      <xdr:col>5</xdr:col>
      <xdr:colOff>86590</xdr:colOff>
      <xdr:row>52</xdr:row>
      <xdr:rowOff>69272</xdr:rowOff>
    </xdr:from>
    <xdr:to>
      <xdr:col>9</xdr:col>
      <xdr:colOff>883226</xdr:colOff>
      <xdr:row>71</xdr:row>
      <xdr:rowOff>55004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675908" y="10893136"/>
          <a:ext cx="4468091" cy="3449368"/>
        </a:xfrm>
        <a:prstGeom prst="rect">
          <a:avLst/>
        </a:prstGeom>
      </xdr:spPr>
    </xdr:pic>
    <xdr:clientData/>
  </xdr:twoCellAnchor>
  <xdr:twoCellAnchor editAs="oneCell">
    <xdr:from>
      <xdr:col>0</xdr:col>
      <xdr:colOff>86591</xdr:colOff>
      <xdr:row>73</xdr:row>
      <xdr:rowOff>69272</xdr:rowOff>
    </xdr:from>
    <xdr:to>
      <xdr:col>4</xdr:col>
      <xdr:colOff>848590</xdr:colOff>
      <xdr:row>94</xdr:row>
      <xdr:rowOff>89777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6591" y="14703136"/>
          <a:ext cx="4433454" cy="3830505"/>
        </a:xfrm>
        <a:prstGeom prst="rect">
          <a:avLst/>
        </a:prstGeom>
      </xdr:spPr>
    </xdr:pic>
    <xdr:clientData/>
  </xdr:twoCellAnchor>
  <xdr:twoCellAnchor editAs="oneCell">
    <xdr:from>
      <xdr:col>5</xdr:col>
      <xdr:colOff>69272</xdr:colOff>
      <xdr:row>73</xdr:row>
      <xdr:rowOff>86591</xdr:rowOff>
    </xdr:from>
    <xdr:to>
      <xdr:col>9</xdr:col>
      <xdr:colOff>917862</xdr:colOff>
      <xdr:row>94</xdr:row>
      <xdr:rowOff>108035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658590" y="14720455"/>
          <a:ext cx="4520045" cy="383144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0</xdr:row>
      <xdr:rowOff>0</xdr:rowOff>
    </xdr:from>
    <xdr:to>
      <xdr:col>26</xdr:col>
      <xdr:colOff>20783</xdr:colOff>
      <xdr:row>29</xdr:row>
      <xdr:rowOff>13607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50929" y="0"/>
          <a:ext cx="10688783" cy="688521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10</xdr:row>
      <xdr:rowOff>171450</xdr:rowOff>
    </xdr:from>
    <xdr:to>
      <xdr:col>5</xdr:col>
      <xdr:colOff>104775</xdr:colOff>
      <xdr:row>11</xdr:row>
      <xdr:rowOff>95250</xdr:rowOff>
    </xdr:to>
    <xdr:sp macro="" textlink="">
      <xdr:nvSpPr>
        <xdr:cNvPr id="2" name="타원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/>
      </xdr:nvSpPr>
      <xdr:spPr bwMode="auto">
        <a:xfrm>
          <a:off x="1990725" y="1981200"/>
          <a:ext cx="104775" cy="104775"/>
        </a:xfrm>
        <a:prstGeom prst="ellipse">
          <a:avLst/>
        </a:prstGeom>
        <a:solidFill>
          <a:schemeClr val="tx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409575</xdr:colOff>
      <xdr:row>11</xdr:row>
      <xdr:rowOff>0</xdr:rowOff>
    </xdr:from>
    <xdr:to>
      <xdr:col>9</xdr:col>
      <xdr:colOff>9525</xdr:colOff>
      <xdr:row>11</xdr:row>
      <xdr:rowOff>104775</xdr:rowOff>
    </xdr:to>
    <xdr:sp macro="" textlink="">
      <xdr:nvSpPr>
        <xdr:cNvPr id="3" name="타원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/>
      </xdr:nvSpPr>
      <xdr:spPr bwMode="auto">
        <a:xfrm>
          <a:off x="4924425" y="1990725"/>
          <a:ext cx="104775" cy="104775"/>
        </a:xfrm>
        <a:prstGeom prst="ellipse">
          <a:avLst/>
        </a:prstGeom>
        <a:solidFill>
          <a:schemeClr val="tx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361950</xdr:colOff>
      <xdr:row>11</xdr:row>
      <xdr:rowOff>0</xdr:rowOff>
    </xdr:from>
    <xdr:to>
      <xdr:col>6</xdr:col>
      <xdr:colOff>0</xdr:colOff>
      <xdr:row>11</xdr:row>
      <xdr:rowOff>104775</xdr:rowOff>
    </xdr:to>
    <xdr:sp macro="" textlink="">
      <xdr:nvSpPr>
        <xdr:cNvPr id="4" name="타원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/>
      </xdr:nvSpPr>
      <xdr:spPr bwMode="auto">
        <a:xfrm>
          <a:off x="2352675" y="1990725"/>
          <a:ext cx="104775" cy="104775"/>
        </a:xfrm>
        <a:prstGeom prst="ellipse">
          <a:avLst/>
        </a:prstGeom>
        <a:solidFill>
          <a:schemeClr val="tx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247650</xdr:colOff>
      <xdr:row>10</xdr:row>
      <xdr:rowOff>171450</xdr:rowOff>
    </xdr:from>
    <xdr:to>
      <xdr:col>6</xdr:col>
      <xdr:colOff>352425</xdr:colOff>
      <xdr:row>11</xdr:row>
      <xdr:rowOff>95250</xdr:rowOff>
    </xdr:to>
    <xdr:sp macro="" textlink="">
      <xdr:nvSpPr>
        <xdr:cNvPr id="5" name="타원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/>
      </xdr:nvSpPr>
      <xdr:spPr bwMode="auto">
        <a:xfrm>
          <a:off x="2705100" y="1981200"/>
          <a:ext cx="104775" cy="104775"/>
        </a:xfrm>
        <a:prstGeom prst="ellipse">
          <a:avLst/>
        </a:prstGeom>
        <a:solidFill>
          <a:schemeClr val="tx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981075</xdr:colOff>
      <xdr:row>10</xdr:row>
      <xdr:rowOff>171450</xdr:rowOff>
    </xdr:from>
    <xdr:to>
      <xdr:col>7</xdr:col>
      <xdr:colOff>57150</xdr:colOff>
      <xdr:row>11</xdr:row>
      <xdr:rowOff>95250</xdr:rowOff>
    </xdr:to>
    <xdr:sp macro="" textlink="">
      <xdr:nvSpPr>
        <xdr:cNvPr id="6" name="타원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/>
      </xdr:nvSpPr>
      <xdr:spPr bwMode="auto">
        <a:xfrm>
          <a:off x="3438525" y="1981200"/>
          <a:ext cx="104775" cy="104775"/>
        </a:xfrm>
        <a:prstGeom prst="ellipse">
          <a:avLst/>
        </a:prstGeom>
        <a:solidFill>
          <a:schemeClr val="tx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ko-KR" altLang="en-US" sz="1100"/>
        </a:p>
      </xdr:txBody>
    </xdr:sp>
    <xdr:clientData/>
  </xdr:twoCellAnchor>
  <xdr:twoCellAnchor>
    <xdr:from>
      <xdr:col>7</xdr:col>
      <xdr:colOff>352425</xdr:colOff>
      <xdr:row>10</xdr:row>
      <xdr:rowOff>161925</xdr:rowOff>
    </xdr:from>
    <xdr:to>
      <xdr:col>7</xdr:col>
      <xdr:colOff>457200</xdr:colOff>
      <xdr:row>11</xdr:row>
      <xdr:rowOff>85725</xdr:rowOff>
    </xdr:to>
    <xdr:sp macro="" textlink="">
      <xdr:nvSpPr>
        <xdr:cNvPr id="7" name="타원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/>
      </xdr:nvSpPr>
      <xdr:spPr bwMode="auto">
        <a:xfrm>
          <a:off x="3838575" y="1971675"/>
          <a:ext cx="104775" cy="104775"/>
        </a:xfrm>
        <a:prstGeom prst="ellipse">
          <a:avLst/>
        </a:prstGeom>
        <a:solidFill>
          <a:schemeClr val="tx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ko-KR" altLang="en-US" sz="1100"/>
        </a:p>
      </xdr:txBody>
    </xdr:sp>
    <xdr:clientData/>
  </xdr:twoCellAnchor>
  <xdr:twoCellAnchor>
    <xdr:from>
      <xdr:col>7</xdr:col>
      <xdr:colOff>752475</xdr:colOff>
      <xdr:row>11</xdr:row>
      <xdr:rowOff>0</xdr:rowOff>
    </xdr:from>
    <xdr:to>
      <xdr:col>7</xdr:col>
      <xdr:colOff>857250</xdr:colOff>
      <xdr:row>11</xdr:row>
      <xdr:rowOff>104775</xdr:rowOff>
    </xdr:to>
    <xdr:sp macro="" textlink="">
      <xdr:nvSpPr>
        <xdr:cNvPr id="8" name="타원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/>
      </xdr:nvSpPr>
      <xdr:spPr bwMode="auto">
        <a:xfrm>
          <a:off x="4238625" y="1990725"/>
          <a:ext cx="104775" cy="104775"/>
        </a:xfrm>
        <a:prstGeom prst="ellipse">
          <a:avLst/>
        </a:prstGeom>
        <a:solidFill>
          <a:schemeClr val="tx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76200</xdr:colOff>
      <xdr:row>10</xdr:row>
      <xdr:rowOff>161925</xdr:rowOff>
    </xdr:from>
    <xdr:to>
      <xdr:col>8</xdr:col>
      <xdr:colOff>180975</xdr:colOff>
      <xdr:row>11</xdr:row>
      <xdr:rowOff>85725</xdr:rowOff>
    </xdr:to>
    <xdr:sp macro="" textlink="">
      <xdr:nvSpPr>
        <xdr:cNvPr id="9" name="타원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/>
      </xdr:nvSpPr>
      <xdr:spPr bwMode="auto">
        <a:xfrm>
          <a:off x="4591050" y="1971675"/>
          <a:ext cx="104775" cy="104775"/>
        </a:xfrm>
        <a:prstGeom prst="ellipse">
          <a:avLst/>
        </a:prstGeom>
        <a:solidFill>
          <a:schemeClr val="tx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600075</xdr:colOff>
      <xdr:row>10</xdr:row>
      <xdr:rowOff>171450</xdr:rowOff>
    </xdr:from>
    <xdr:to>
      <xdr:col>6</xdr:col>
      <xdr:colOff>704850</xdr:colOff>
      <xdr:row>11</xdr:row>
      <xdr:rowOff>95250</xdr:rowOff>
    </xdr:to>
    <xdr:sp macro="" textlink="">
      <xdr:nvSpPr>
        <xdr:cNvPr id="10" name="타원 9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/>
      </xdr:nvSpPr>
      <xdr:spPr bwMode="auto">
        <a:xfrm>
          <a:off x="3057525" y="1981200"/>
          <a:ext cx="104775" cy="104775"/>
        </a:xfrm>
        <a:prstGeom prst="ellipse">
          <a:avLst/>
        </a:prstGeom>
        <a:solidFill>
          <a:schemeClr val="tx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504825</xdr:colOff>
      <xdr:row>23</xdr:row>
      <xdr:rowOff>95250</xdr:rowOff>
    </xdr:from>
    <xdr:to>
      <xdr:col>6</xdr:col>
      <xdr:colOff>514350</xdr:colOff>
      <xdr:row>30</xdr:row>
      <xdr:rowOff>9525</xdr:rowOff>
    </xdr:to>
    <xdr:cxnSp macro="">
      <xdr:nvCxnSpPr>
        <xdr:cNvPr id="14" name="직선 연결선 13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CxnSpPr/>
      </xdr:nvCxnSpPr>
      <xdr:spPr bwMode="auto">
        <a:xfrm>
          <a:off x="2838450" y="4276725"/>
          <a:ext cx="9525" cy="2362200"/>
        </a:xfrm>
        <a:prstGeom prst="line">
          <a:avLst/>
        </a:prstGeom>
        <a:solidFill>
          <a:srgbClr val="FFFFFF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7</xdr:col>
      <xdr:colOff>495300</xdr:colOff>
      <xdr:row>23</xdr:row>
      <xdr:rowOff>85725</xdr:rowOff>
    </xdr:from>
    <xdr:to>
      <xdr:col>7</xdr:col>
      <xdr:colOff>504825</xdr:colOff>
      <xdr:row>30</xdr:row>
      <xdr:rowOff>0</xdr:rowOff>
    </xdr:to>
    <xdr:cxnSp macro="">
      <xdr:nvCxnSpPr>
        <xdr:cNvPr id="15" name="직선 연결선 14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CxnSpPr/>
      </xdr:nvCxnSpPr>
      <xdr:spPr bwMode="auto">
        <a:xfrm>
          <a:off x="3857625" y="4267200"/>
          <a:ext cx="9525" cy="2362200"/>
        </a:xfrm>
        <a:prstGeom prst="line">
          <a:avLst/>
        </a:prstGeom>
        <a:solidFill>
          <a:srgbClr val="FFFFFF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6</xdr:col>
      <xdr:colOff>781050</xdr:colOff>
      <xdr:row>25</xdr:row>
      <xdr:rowOff>9525</xdr:rowOff>
    </xdr:from>
    <xdr:to>
      <xdr:col>8</xdr:col>
      <xdr:colOff>0</xdr:colOff>
      <xdr:row>33</xdr:row>
      <xdr:rowOff>9525</xdr:rowOff>
    </xdr:to>
    <xdr:sp macro="" textlink="">
      <xdr:nvSpPr>
        <xdr:cNvPr id="16" name="자유형 15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/>
      </xdr:nvSpPr>
      <xdr:spPr bwMode="auto">
        <a:xfrm>
          <a:off x="3114675" y="4686300"/>
          <a:ext cx="1276350" cy="2695575"/>
        </a:xfrm>
        <a:custGeom>
          <a:avLst/>
          <a:gdLst>
            <a:gd name="connsiteX0" fmla="*/ 0 w 1276350"/>
            <a:gd name="connsiteY0" fmla="*/ 0 h 2695575"/>
            <a:gd name="connsiteX1" fmla="*/ 47625 w 1276350"/>
            <a:gd name="connsiteY1" fmla="*/ 2695575 h 2695575"/>
            <a:gd name="connsiteX2" fmla="*/ 1276350 w 1276350"/>
            <a:gd name="connsiteY2" fmla="*/ 2686050 h 26955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1276350" h="2695575">
              <a:moveTo>
                <a:pt x="0" y="0"/>
              </a:moveTo>
              <a:lnTo>
                <a:pt x="47625" y="2695575"/>
              </a:lnTo>
              <a:lnTo>
                <a:pt x="1276350" y="2686050"/>
              </a:lnTo>
            </a:path>
          </a:pathLst>
        </a:custGeom>
        <a:noFill/>
        <a:ln w="127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0</xdr:colOff>
      <xdr:row>26</xdr:row>
      <xdr:rowOff>190500</xdr:rowOff>
    </xdr:from>
    <xdr:to>
      <xdr:col>8</xdr:col>
      <xdr:colOff>9525</xdr:colOff>
      <xdr:row>26</xdr:row>
      <xdr:rowOff>200025</xdr:rowOff>
    </xdr:to>
    <xdr:sp macro="" textlink="">
      <xdr:nvSpPr>
        <xdr:cNvPr id="17" name="자유형 16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/>
      </xdr:nvSpPr>
      <xdr:spPr bwMode="auto">
        <a:xfrm>
          <a:off x="762000" y="5257800"/>
          <a:ext cx="3638550" cy="9525"/>
        </a:xfrm>
        <a:custGeom>
          <a:avLst/>
          <a:gdLst>
            <a:gd name="connsiteX0" fmla="*/ 0 w 3638550"/>
            <a:gd name="connsiteY0" fmla="*/ 9525 h 9525"/>
            <a:gd name="connsiteX1" fmla="*/ 3638550 w 3638550"/>
            <a:gd name="connsiteY1" fmla="*/ 0 h 9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3638550" h="9525">
              <a:moveTo>
                <a:pt x="0" y="9525"/>
              </a:moveTo>
              <a:lnTo>
                <a:pt x="3638550" y="0"/>
              </a:lnTo>
            </a:path>
          </a:pathLst>
        </a:cu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714376</xdr:colOff>
      <xdr:row>24</xdr:row>
      <xdr:rowOff>314325</xdr:rowOff>
    </xdr:from>
    <xdr:to>
      <xdr:col>6</xdr:col>
      <xdr:colOff>838200</xdr:colOff>
      <xdr:row>25</xdr:row>
      <xdr:rowOff>76200</xdr:rowOff>
    </xdr:to>
    <xdr:cxnSp macro="">
      <xdr:nvCxnSpPr>
        <xdr:cNvPr id="19" name="직선 연결선 18">
          <a:extLst>
            <a:ext uri="{FF2B5EF4-FFF2-40B4-BE49-F238E27FC236}">
              <a16:creationId xmlns:a16="http://schemas.microsoft.com/office/drawing/2014/main" id="{00000000-0008-0000-0B00-000013000000}"/>
            </a:ext>
          </a:extLst>
        </xdr:cNvPr>
        <xdr:cNvCxnSpPr/>
      </xdr:nvCxnSpPr>
      <xdr:spPr bwMode="auto">
        <a:xfrm flipH="1">
          <a:off x="3048001" y="4600575"/>
          <a:ext cx="123824" cy="1524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6</xdr:col>
      <xdr:colOff>733425</xdr:colOff>
      <xdr:row>25</xdr:row>
      <xdr:rowOff>342900</xdr:rowOff>
    </xdr:from>
    <xdr:to>
      <xdr:col>6</xdr:col>
      <xdr:colOff>857249</xdr:colOff>
      <xdr:row>26</xdr:row>
      <xdr:rowOff>104775</xdr:rowOff>
    </xdr:to>
    <xdr:cxnSp macro="">
      <xdr:nvCxnSpPr>
        <xdr:cNvPr id="21" name="직선 연결선 20">
          <a:extLst>
            <a:ext uri="{FF2B5EF4-FFF2-40B4-BE49-F238E27FC236}">
              <a16:creationId xmlns:a16="http://schemas.microsoft.com/office/drawing/2014/main" id="{00000000-0008-0000-0B00-000015000000}"/>
            </a:ext>
          </a:extLst>
        </xdr:cNvPr>
        <xdr:cNvCxnSpPr/>
      </xdr:nvCxnSpPr>
      <xdr:spPr bwMode="auto">
        <a:xfrm flipH="1">
          <a:off x="3067050" y="5019675"/>
          <a:ext cx="123824" cy="1524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6</xdr:col>
      <xdr:colOff>742950</xdr:colOff>
      <xdr:row>26</xdr:row>
      <xdr:rowOff>314325</xdr:rowOff>
    </xdr:from>
    <xdr:to>
      <xdr:col>6</xdr:col>
      <xdr:colOff>866774</xdr:colOff>
      <xdr:row>27</xdr:row>
      <xdr:rowOff>76200</xdr:rowOff>
    </xdr:to>
    <xdr:cxnSp macro="">
      <xdr:nvCxnSpPr>
        <xdr:cNvPr id="22" name="직선 연결선 21">
          <a:extLst>
            <a:ext uri="{FF2B5EF4-FFF2-40B4-BE49-F238E27FC236}">
              <a16:creationId xmlns:a16="http://schemas.microsoft.com/office/drawing/2014/main" id="{00000000-0008-0000-0B00-000016000000}"/>
            </a:ext>
          </a:extLst>
        </xdr:cNvPr>
        <xdr:cNvCxnSpPr/>
      </xdr:nvCxnSpPr>
      <xdr:spPr bwMode="auto">
        <a:xfrm flipH="1">
          <a:off x="3076575" y="5381625"/>
          <a:ext cx="123824" cy="1524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6</xdr:col>
      <xdr:colOff>742950</xdr:colOff>
      <xdr:row>27</xdr:row>
      <xdr:rowOff>323850</xdr:rowOff>
    </xdr:from>
    <xdr:to>
      <xdr:col>6</xdr:col>
      <xdr:colOff>866774</xdr:colOff>
      <xdr:row>28</xdr:row>
      <xdr:rowOff>85725</xdr:rowOff>
    </xdr:to>
    <xdr:cxnSp macro="">
      <xdr:nvCxnSpPr>
        <xdr:cNvPr id="23" name="직선 연결선 22">
          <a:extLst>
            <a:ext uri="{FF2B5EF4-FFF2-40B4-BE49-F238E27FC236}">
              <a16:creationId xmlns:a16="http://schemas.microsoft.com/office/drawing/2014/main" id="{00000000-0008-0000-0B00-000017000000}"/>
            </a:ext>
          </a:extLst>
        </xdr:cNvPr>
        <xdr:cNvCxnSpPr/>
      </xdr:nvCxnSpPr>
      <xdr:spPr bwMode="auto">
        <a:xfrm flipH="1">
          <a:off x="3076575" y="5781675"/>
          <a:ext cx="123824" cy="1524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6</xdr:col>
      <xdr:colOff>752475</xdr:colOff>
      <xdr:row>28</xdr:row>
      <xdr:rowOff>333375</xdr:rowOff>
    </xdr:from>
    <xdr:to>
      <xdr:col>6</xdr:col>
      <xdr:colOff>876299</xdr:colOff>
      <xdr:row>29</xdr:row>
      <xdr:rowOff>95250</xdr:rowOff>
    </xdr:to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00000000-0008-0000-0B00-000018000000}"/>
            </a:ext>
          </a:extLst>
        </xdr:cNvPr>
        <xdr:cNvCxnSpPr/>
      </xdr:nvCxnSpPr>
      <xdr:spPr bwMode="auto">
        <a:xfrm flipH="1">
          <a:off x="3086100" y="6181725"/>
          <a:ext cx="123824" cy="1524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5</xdr:col>
      <xdr:colOff>390525</xdr:colOff>
      <xdr:row>26</xdr:row>
      <xdr:rowOff>133350</xdr:rowOff>
    </xdr:from>
    <xdr:to>
      <xdr:col>6</xdr:col>
      <xdr:colOff>47624</xdr:colOff>
      <xdr:row>26</xdr:row>
      <xdr:rowOff>285750</xdr:rowOff>
    </xdr:to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00000000-0008-0000-0B00-000019000000}"/>
            </a:ext>
          </a:extLst>
        </xdr:cNvPr>
        <xdr:cNvCxnSpPr/>
      </xdr:nvCxnSpPr>
      <xdr:spPr bwMode="auto">
        <a:xfrm flipH="1">
          <a:off x="2257425" y="5200650"/>
          <a:ext cx="123824" cy="1524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6</xdr:col>
      <xdr:colOff>438150</xdr:colOff>
      <xdr:row>26</xdr:row>
      <xdr:rowOff>114300</xdr:rowOff>
    </xdr:from>
    <xdr:to>
      <xdr:col>6</xdr:col>
      <xdr:colOff>561974</xdr:colOff>
      <xdr:row>26</xdr:row>
      <xdr:rowOff>266700</xdr:rowOff>
    </xdr:to>
    <xdr:cxnSp macro="">
      <xdr:nvCxnSpPr>
        <xdr:cNvPr id="26" name="직선 연결선 25">
          <a:extLst>
            <a:ext uri="{FF2B5EF4-FFF2-40B4-BE49-F238E27FC236}">
              <a16:creationId xmlns:a16="http://schemas.microsoft.com/office/drawing/2014/main" id="{00000000-0008-0000-0B00-00001A000000}"/>
            </a:ext>
          </a:extLst>
        </xdr:cNvPr>
        <xdr:cNvCxnSpPr/>
      </xdr:nvCxnSpPr>
      <xdr:spPr bwMode="auto">
        <a:xfrm flipH="1">
          <a:off x="2771775" y="5181600"/>
          <a:ext cx="123824" cy="1524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7</xdr:col>
      <xdr:colOff>457200</xdr:colOff>
      <xdr:row>26</xdr:row>
      <xdr:rowOff>123825</xdr:rowOff>
    </xdr:from>
    <xdr:to>
      <xdr:col>7</xdr:col>
      <xdr:colOff>581024</xdr:colOff>
      <xdr:row>26</xdr:row>
      <xdr:rowOff>276225</xdr:rowOff>
    </xdr:to>
    <xdr:cxnSp macro="">
      <xdr:nvCxnSpPr>
        <xdr:cNvPr id="27" name="직선 연결선 26">
          <a:extLst>
            <a:ext uri="{FF2B5EF4-FFF2-40B4-BE49-F238E27FC236}">
              <a16:creationId xmlns:a16="http://schemas.microsoft.com/office/drawing/2014/main" id="{00000000-0008-0000-0B00-00001B000000}"/>
            </a:ext>
          </a:extLst>
        </xdr:cNvPr>
        <xdr:cNvCxnSpPr/>
      </xdr:nvCxnSpPr>
      <xdr:spPr bwMode="auto">
        <a:xfrm flipH="1">
          <a:off x="3819525" y="5191125"/>
          <a:ext cx="123824" cy="1524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6</xdr:col>
      <xdr:colOff>962025</xdr:colOff>
      <xdr:row>26</xdr:row>
      <xdr:rowOff>104775</xdr:rowOff>
    </xdr:from>
    <xdr:to>
      <xdr:col>7</xdr:col>
      <xdr:colOff>57149</xdr:colOff>
      <xdr:row>26</xdr:row>
      <xdr:rowOff>257175</xdr:rowOff>
    </xdr:to>
    <xdr:cxnSp macro="">
      <xdr:nvCxnSpPr>
        <xdr:cNvPr id="28" name="직선 연결선 27">
          <a:extLst>
            <a:ext uri="{FF2B5EF4-FFF2-40B4-BE49-F238E27FC236}">
              <a16:creationId xmlns:a16="http://schemas.microsoft.com/office/drawing/2014/main" id="{00000000-0008-0000-0B00-00001C000000}"/>
            </a:ext>
          </a:extLst>
        </xdr:cNvPr>
        <xdr:cNvCxnSpPr/>
      </xdr:nvCxnSpPr>
      <xdr:spPr bwMode="auto">
        <a:xfrm flipH="1">
          <a:off x="3295650" y="5172075"/>
          <a:ext cx="123824" cy="1524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7</xdr:col>
      <xdr:colOff>962025</xdr:colOff>
      <xdr:row>26</xdr:row>
      <xdr:rowOff>133350</xdr:rowOff>
    </xdr:from>
    <xdr:to>
      <xdr:col>8</xdr:col>
      <xdr:colOff>57149</xdr:colOff>
      <xdr:row>26</xdr:row>
      <xdr:rowOff>285750</xdr:rowOff>
    </xdr:to>
    <xdr:cxnSp macro="">
      <xdr:nvCxnSpPr>
        <xdr:cNvPr id="29" name="직선 연결선 28">
          <a:extLst>
            <a:ext uri="{FF2B5EF4-FFF2-40B4-BE49-F238E27FC236}">
              <a16:creationId xmlns:a16="http://schemas.microsoft.com/office/drawing/2014/main" id="{00000000-0008-0000-0B00-00001D000000}"/>
            </a:ext>
          </a:extLst>
        </xdr:cNvPr>
        <xdr:cNvCxnSpPr/>
      </xdr:nvCxnSpPr>
      <xdr:spPr bwMode="auto">
        <a:xfrm flipH="1">
          <a:off x="4324350" y="5200650"/>
          <a:ext cx="123824" cy="1524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7</xdr:col>
      <xdr:colOff>590550</xdr:colOff>
      <xdr:row>11</xdr:row>
      <xdr:rowOff>19050</xdr:rowOff>
    </xdr:from>
    <xdr:to>
      <xdr:col>13</xdr:col>
      <xdr:colOff>142875</xdr:colOff>
      <xdr:row>17</xdr:row>
      <xdr:rowOff>9525</xdr:rowOff>
    </xdr:to>
    <xdr:sp macro="" textlink="">
      <xdr:nvSpPr>
        <xdr:cNvPr id="30" name="자유형 29">
          <a:extLst>
            <a:ext uri="{FF2B5EF4-FFF2-40B4-BE49-F238E27FC236}">
              <a16:creationId xmlns:a16="http://schemas.microsoft.com/office/drawing/2014/main" id="{00000000-0008-0000-0B00-00001E000000}"/>
            </a:ext>
          </a:extLst>
        </xdr:cNvPr>
        <xdr:cNvSpPr/>
      </xdr:nvSpPr>
      <xdr:spPr bwMode="auto">
        <a:xfrm>
          <a:off x="3952875" y="2028825"/>
          <a:ext cx="1733550" cy="1095375"/>
        </a:xfrm>
        <a:custGeom>
          <a:avLst/>
          <a:gdLst>
            <a:gd name="connsiteX0" fmla="*/ 0 w 1733550"/>
            <a:gd name="connsiteY0" fmla="*/ 0 h 1095375"/>
            <a:gd name="connsiteX1" fmla="*/ 962025 w 1733550"/>
            <a:gd name="connsiteY1" fmla="*/ 1095375 h 1095375"/>
            <a:gd name="connsiteX2" fmla="*/ 1733550 w 1733550"/>
            <a:gd name="connsiteY2" fmla="*/ 1095375 h 10953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1733550" h="1095375">
              <a:moveTo>
                <a:pt x="0" y="0"/>
              </a:moveTo>
              <a:lnTo>
                <a:pt x="962025" y="1095375"/>
              </a:lnTo>
              <a:lnTo>
                <a:pt x="1733550" y="1095375"/>
              </a:lnTo>
            </a:path>
          </a:pathLst>
        </a:custGeom>
        <a:noFill/>
        <a:ln w="12700" cap="flat" cmpd="sng" algn="ctr">
          <a:solidFill>
            <a:srgbClr val="000000"/>
          </a:solidFill>
          <a:prstDash val="solid"/>
          <a:round/>
          <a:headEnd type="arrow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695325</xdr:colOff>
      <xdr:row>11</xdr:row>
      <xdr:rowOff>76200</xdr:rowOff>
    </xdr:from>
    <xdr:to>
      <xdr:col>5</xdr:col>
      <xdr:colOff>409575</xdr:colOff>
      <xdr:row>16</xdr:row>
      <xdr:rowOff>9525</xdr:rowOff>
    </xdr:to>
    <xdr:sp macro="" textlink="">
      <xdr:nvSpPr>
        <xdr:cNvPr id="31" name="자유형 30">
          <a:extLst>
            <a:ext uri="{FF2B5EF4-FFF2-40B4-BE49-F238E27FC236}">
              <a16:creationId xmlns:a16="http://schemas.microsoft.com/office/drawing/2014/main" id="{00000000-0008-0000-0B00-00001F000000}"/>
            </a:ext>
          </a:extLst>
        </xdr:cNvPr>
        <xdr:cNvSpPr/>
      </xdr:nvSpPr>
      <xdr:spPr bwMode="auto">
        <a:xfrm>
          <a:off x="695325" y="2085975"/>
          <a:ext cx="1581150" cy="800100"/>
        </a:xfrm>
        <a:custGeom>
          <a:avLst/>
          <a:gdLst>
            <a:gd name="connsiteX0" fmla="*/ 1581150 w 1581150"/>
            <a:gd name="connsiteY0" fmla="*/ 0 h 800100"/>
            <a:gd name="connsiteX1" fmla="*/ 828675 w 1581150"/>
            <a:gd name="connsiteY1" fmla="*/ 800100 h 800100"/>
            <a:gd name="connsiteX2" fmla="*/ 0 w 1581150"/>
            <a:gd name="connsiteY2" fmla="*/ 800100 h 8001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1581150" h="800100">
              <a:moveTo>
                <a:pt x="1581150" y="0"/>
              </a:moveTo>
              <a:lnTo>
                <a:pt x="828675" y="800100"/>
              </a:lnTo>
              <a:lnTo>
                <a:pt x="0" y="800100"/>
              </a:lnTo>
            </a:path>
          </a:pathLst>
        </a:custGeom>
        <a:noFill/>
        <a:ln w="12700" cap="flat" cmpd="sng" algn="ctr">
          <a:solidFill>
            <a:srgbClr val="000000"/>
          </a:solidFill>
          <a:prstDash val="solid"/>
          <a:round/>
          <a:headEnd type="arrow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ko-KR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1211580</xdr:colOff>
      <xdr:row>122</xdr:row>
      <xdr:rowOff>0</xdr:rowOff>
    </xdr:from>
    <xdr:to>
      <xdr:col>12</xdr:col>
      <xdr:colOff>0</xdr:colOff>
      <xdr:row>122</xdr:row>
      <xdr:rowOff>0</xdr:rowOff>
    </xdr:to>
    <xdr:sp macro="" textlink="">
      <xdr:nvSpPr>
        <xdr:cNvPr id="1456284" name="Oval 86">
          <a:extLst>
            <a:ext uri="{FF2B5EF4-FFF2-40B4-BE49-F238E27FC236}">
              <a16:creationId xmlns:a16="http://schemas.microsoft.com/office/drawing/2014/main" id="{00000000-0008-0000-0E00-00009C381600}"/>
            </a:ext>
          </a:extLst>
        </xdr:cNvPr>
        <xdr:cNvSpPr>
          <a:spLocks noChangeArrowheads="1"/>
        </xdr:cNvSpPr>
      </xdr:nvSpPr>
      <xdr:spPr bwMode="auto">
        <a:xfrm>
          <a:off x="9456420" y="23332440"/>
          <a:ext cx="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0</xdr:colOff>
      <xdr:row>122</xdr:row>
      <xdr:rowOff>0</xdr:rowOff>
    </xdr:from>
    <xdr:to>
      <xdr:col>12</xdr:col>
      <xdr:colOff>0</xdr:colOff>
      <xdr:row>122</xdr:row>
      <xdr:rowOff>0</xdr:rowOff>
    </xdr:to>
    <xdr:sp macro="" textlink="">
      <xdr:nvSpPr>
        <xdr:cNvPr id="1456285" name="Oval 87">
          <a:extLst>
            <a:ext uri="{FF2B5EF4-FFF2-40B4-BE49-F238E27FC236}">
              <a16:creationId xmlns:a16="http://schemas.microsoft.com/office/drawing/2014/main" id="{00000000-0008-0000-0E00-00009D381600}"/>
            </a:ext>
          </a:extLst>
        </xdr:cNvPr>
        <xdr:cNvSpPr>
          <a:spLocks noChangeArrowheads="1"/>
        </xdr:cNvSpPr>
      </xdr:nvSpPr>
      <xdr:spPr bwMode="auto">
        <a:xfrm>
          <a:off x="9456420" y="23332440"/>
          <a:ext cx="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1211580</xdr:colOff>
      <xdr:row>122</xdr:row>
      <xdr:rowOff>0</xdr:rowOff>
    </xdr:from>
    <xdr:to>
      <xdr:col>12</xdr:col>
      <xdr:colOff>0</xdr:colOff>
      <xdr:row>122</xdr:row>
      <xdr:rowOff>0</xdr:rowOff>
    </xdr:to>
    <xdr:sp macro="" textlink="">
      <xdr:nvSpPr>
        <xdr:cNvPr id="1456286" name="Oval 88">
          <a:extLst>
            <a:ext uri="{FF2B5EF4-FFF2-40B4-BE49-F238E27FC236}">
              <a16:creationId xmlns:a16="http://schemas.microsoft.com/office/drawing/2014/main" id="{00000000-0008-0000-0E00-00009E381600}"/>
            </a:ext>
          </a:extLst>
        </xdr:cNvPr>
        <xdr:cNvSpPr>
          <a:spLocks noChangeArrowheads="1"/>
        </xdr:cNvSpPr>
      </xdr:nvSpPr>
      <xdr:spPr bwMode="auto">
        <a:xfrm>
          <a:off x="9456420" y="23332440"/>
          <a:ext cx="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0</xdr:colOff>
      <xdr:row>122</xdr:row>
      <xdr:rowOff>0</xdr:rowOff>
    </xdr:from>
    <xdr:to>
      <xdr:col>12</xdr:col>
      <xdr:colOff>0</xdr:colOff>
      <xdr:row>122</xdr:row>
      <xdr:rowOff>0</xdr:rowOff>
    </xdr:to>
    <xdr:sp macro="" textlink="">
      <xdr:nvSpPr>
        <xdr:cNvPr id="1456287" name="Oval 89">
          <a:extLst>
            <a:ext uri="{FF2B5EF4-FFF2-40B4-BE49-F238E27FC236}">
              <a16:creationId xmlns:a16="http://schemas.microsoft.com/office/drawing/2014/main" id="{00000000-0008-0000-0E00-00009F381600}"/>
            </a:ext>
          </a:extLst>
        </xdr:cNvPr>
        <xdr:cNvSpPr>
          <a:spLocks noChangeArrowheads="1"/>
        </xdr:cNvSpPr>
      </xdr:nvSpPr>
      <xdr:spPr bwMode="auto">
        <a:xfrm>
          <a:off x="9456420" y="23332440"/>
          <a:ext cx="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122</xdr:row>
      <xdr:rowOff>0</xdr:rowOff>
    </xdr:from>
    <xdr:to>
      <xdr:col>3</xdr:col>
      <xdr:colOff>68580</xdr:colOff>
      <xdr:row>122</xdr:row>
      <xdr:rowOff>0</xdr:rowOff>
    </xdr:to>
    <xdr:sp macro="" textlink="">
      <xdr:nvSpPr>
        <xdr:cNvPr id="1456288" name="Oval 112">
          <a:extLst>
            <a:ext uri="{FF2B5EF4-FFF2-40B4-BE49-F238E27FC236}">
              <a16:creationId xmlns:a16="http://schemas.microsoft.com/office/drawing/2014/main" id="{00000000-0008-0000-0E00-0000A0381600}"/>
            </a:ext>
          </a:extLst>
        </xdr:cNvPr>
        <xdr:cNvSpPr>
          <a:spLocks noChangeArrowheads="1"/>
        </xdr:cNvSpPr>
      </xdr:nvSpPr>
      <xdr:spPr bwMode="auto">
        <a:xfrm>
          <a:off x="2423160" y="23332440"/>
          <a:ext cx="662940" cy="0"/>
        </a:xfrm>
        <a:prstGeom prst="ellips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68580</xdr:colOff>
      <xdr:row>122</xdr:row>
      <xdr:rowOff>0</xdr:rowOff>
    </xdr:from>
    <xdr:to>
      <xdr:col>0</xdr:col>
      <xdr:colOff>786549</xdr:colOff>
      <xdr:row>122</xdr:row>
      <xdr:rowOff>0</xdr:rowOff>
    </xdr:to>
    <xdr:sp macro="" textlink="">
      <xdr:nvSpPr>
        <xdr:cNvPr id="64743" name="Text 117">
          <a:extLst>
            <a:ext uri="{FF2B5EF4-FFF2-40B4-BE49-F238E27FC236}">
              <a16:creationId xmlns:a16="http://schemas.microsoft.com/office/drawing/2014/main" id="{00000000-0008-0000-0E00-0000E7FC0000}"/>
            </a:ext>
          </a:extLst>
        </xdr:cNvPr>
        <xdr:cNvSpPr txBox="1">
          <a:spLocks noChangeArrowheads="1"/>
        </xdr:cNvSpPr>
      </xdr:nvSpPr>
      <xdr:spPr bwMode="auto">
        <a:xfrm>
          <a:off x="76200" y="21812250"/>
          <a:ext cx="8096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종     별</a:t>
          </a:r>
        </a:p>
      </xdr:txBody>
    </xdr:sp>
    <xdr:clientData/>
  </xdr:twoCellAnchor>
  <xdr:twoCellAnchor>
    <xdr:from>
      <xdr:col>2</xdr:col>
      <xdr:colOff>68580</xdr:colOff>
      <xdr:row>122</xdr:row>
      <xdr:rowOff>0</xdr:rowOff>
    </xdr:from>
    <xdr:to>
      <xdr:col>2</xdr:col>
      <xdr:colOff>541020</xdr:colOff>
      <xdr:row>122</xdr:row>
      <xdr:rowOff>0</xdr:rowOff>
    </xdr:to>
    <xdr:sp macro="" textlink="">
      <xdr:nvSpPr>
        <xdr:cNvPr id="64744" name="Text 118">
          <a:extLst>
            <a:ext uri="{FF2B5EF4-FFF2-40B4-BE49-F238E27FC236}">
              <a16:creationId xmlns:a16="http://schemas.microsoft.com/office/drawing/2014/main" id="{00000000-0008-0000-0E00-0000E8FC0000}"/>
            </a:ext>
          </a:extLst>
        </xdr:cNvPr>
        <xdr:cNvSpPr txBox="1">
          <a:spLocks noChangeArrowheads="1"/>
        </xdr:cNvSpPr>
      </xdr:nvSpPr>
      <xdr:spPr bwMode="auto">
        <a:xfrm>
          <a:off x="2181225" y="21812250"/>
          <a:ext cx="533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원  수</a:t>
          </a:r>
        </a:p>
      </xdr:txBody>
    </xdr:sp>
    <xdr:clientData/>
  </xdr:twoCellAnchor>
  <xdr:twoCellAnchor>
    <xdr:from>
      <xdr:col>0</xdr:col>
      <xdr:colOff>68580</xdr:colOff>
      <xdr:row>122</xdr:row>
      <xdr:rowOff>0</xdr:rowOff>
    </xdr:from>
    <xdr:to>
      <xdr:col>0</xdr:col>
      <xdr:colOff>786549</xdr:colOff>
      <xdr:row>122</xdr:row>
      <xdr:rowOff>0</xdr:rowOff>
    </xdr:to>
    <xdr:sp macro="" textlink="">
      <xdr:nvSpPr>
        <xdr:cNvPr id="64757" name="Text 121">
          <a:extLst>
            <a:ext uri="{FF2B5EF4-FFF2-40B4-BE49-F238E27FC236}">
              <a16:creationId xmlns:a16="http://schemas.microsoft.com/office/drawing/2014/main" id="{00000000-0008-0000-0E00-0000F5FC0000}"/>
            </a:ext>
          </a:extLst>
        </xdr:cNvPr>
        <xdr:cNvSpPr txBox="1">
          <a:spLocks noChangeArrowheads="1"/>
        </xdr:cNvSpPr>
      </xdr:nvSpPr>
      <xdr:spPr bwMode="auto">
        <a:xfrm>
          <a:off x="76200" y="21812250"/>
          <a:ext cx="8096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종     별</a:t>
          </a:r>
        </a:p>
      </xdr:txBody>
    </xdr:sp>
    <xdr:clientData/>
  </xdr:twoCellAnchor>
  <xdr:twoCellAnchor>
    <xdr:from>
      <xdr:col>2</xdr:col>
      <xdr:colOff>68580</xdr:colOff>
      <xdr:row>122</xdr:row>
      <xdr:rowOff>0</xdr:rowOff>
    </xdr:from>
    <xdr:to>
      <xdr:col>2</xdr:col>
      <xdr:colOff>541020</xdr:colOff>
      <xdr:row>122</xdr:row>
      <xdr:rowOff>0</xdr:rowOff>
    </xdr:to>
    <xdr:sp macro="" textlink="">
      <xdr:nvSpPr>
        <xdr:cNvPr id="64758" name="Text 122">
          <a:extLst>
            <a:ext uri="{FF2B5EF4-FFF2-40B4-BE49-F238E27FC236}">
              <a16:creationId xmlns:a16="http://schemas.microsoft.com/office/drawing/2014/main" id="{00000000-0008-0000-0E00-0000F6FC0000}"/>
            </a:ext>
          </a:extLst>
        </xdr:cNvPr>
        <xdr:cNvSpPr txBox="1">
          <a:spLocks noChangeArrowheads="1"/>
        </xdr:cNvSpPr>
      </xdr:nvSpPr>
      <xdr:spPr bwMode="auto">
        <a:xfrm>
          <a:off x="2181225" y="21812250"/>
          <a:ext cx="533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원  수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106</xdr:row>
      <xdr:rowOff>142874</xdr:rowOff>
    </xdr:from>
    <xdr:to>
      <xdr:col>104</xdr:col>
      <xdr:colOff>523875</xdr:colOff>
      <xdr:row>141</xdr:row>
      <xdr:rowOff>123824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15649574"/>
          <a:ext cx="8877300" cy="562927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78105</xdr:colOff>
      <xdr:row>228</xdr:row>
      <xdr:rowOff>0</xdr:rowOff>
    </xdr:from>
    <xdr:to>
      <xdr:col>2</xdr:col>
      <xdr:colOff>588645</xdr:colOff>
      <xdr:row>228</xdr:row>
      <xdr:rowOff>0</xdr:rowOff>
    </xdr:to>
    <xdr:sp macro="" textlink="">
      <xdr:nvSpPr>
        <xdr:cNvPr id="55410" name="Text 19">
          <a:extLst>
            <a:ext uri="{FF2B5EF4-FFF2-40B4-BE49-F238E27FC236}">
              <a16:creationId xmlns:a16="http://schemas.microsoft.com/office/drawing/2014/main" id="{00000000-0008-0000-1100-000072D80000}"/>
            </a:ext>
          </a:extLst>
        </xdr:cNvPr>
        <xdr:cNvSpPr txBox="1">
          <a:spLocks noChangeArrowheads="1"/>
        </xdr:cNvSpPr>
      </xdr:nvSpPr>
      <xdr:spPr bwMode="auto">
        <a:xfrm>
          <a:off x="2152650" y="38938200"/>
          <a:ext cx="5715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원   수</a:t>
          </a:r>
        </a:p>
      </xdr:txBody>
    </xdr:sp>
    <xdr:clientData/>
  </xdr:twoCellAnchor>
  <xdr:twoCellAnchor>
    <xdr:from>
      <xdr:col>3</xdr:col>
      <xdr:colOff>89535</xdr:colOff>
      <xdr:row>228</xdr:row>
      <xdr:rowOff>0</xdr:rowOff>
    </xdr:from>
    <xdr:to>
      <xdr:col>3</xdr:col>
      <xdr:colOff>422819</xdr:colOff>
      <xdr:row>228</xdr:row>
      <xdr:rowOff>0</xdr:rowOff>
    </xdr:to>
    <xdr:sp macro="" textlink="">
      <xdr:nvSpPr>
        <xdr:cNvPr id="55411" name="Text 20">
          <a:extLst>
            <a:ext uri="{FF2B5EF4-FFF2-40B4-BE49-F238E27FC236}">
              <a16:creationId xmlns:a16="http://schemas.microsoft.com/office/drawing/2014/main" id="{00000000-0008-0000-1100-000073D80000}"/>
            </a:ext>
          </a:extLst>
        </xdr:cNvPr>
        <xdr:cNvSpPr txBox="1">
          <a:spLocks noChangeArrowheads="1"/>
        </xdr:cNvSpPr>
      </xdr:nvSpPr>
      <xdr:spPr bwMode="auto">
        <a:xfrm>
          <a:off x="2857500" y="38938200"/>
          <a:ext cx="3714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단   위</a:t>
          </a:r>
        </a:p>
      </xdr:txBody>
    </xdr:sp>
    <xdr:clientData/>
  </xdr:twoCellAnchor>
  <xdr:twoCellAnchor>
    <xdr:from>
      <xdr:col>0</xdr:col>
      <xdr:colOff>78105</xdr:colOff>
      <xdr:row>228</xdr:row>
      <xdr:rowOff>0</xdr:rowOff>
    </xdr:from>
    <xdr:to>
      <xdr:col>0</xdr:col>
      <xdr:colOff>862965</xdr:colOff>
      <xdr:row>228</xdr:row>
      <xdr:rowOff>0</xdr:rowOff>
    </xdr:to>
    <xdr:sp macro="" textlink="">
      <xdr:nvSpPr>
        <xdr:cNvPr id="55412" name="Text 21">
          <a:extLst>
            <a:ext uri="{FF2B5EF4-FFF2-40B4-BE49-F238E27FC236}">
              <a16:creationId xmlns:a16="http://schemas.microsoft.com/office/drawing/2014/main" id="{00000000-0008-0000-1100-000074D80000}"/>
            </a:ext>
          </a:extLst>
        </xdr:cNvPr>
        <xdr:cNvSpPr txBox="1">
          <a:spLocks noChangeArrowheads="1"/>
        </xdr:cNvSpPr>
      </xdr:nvSpPr>
      <xdr:spPr bwMode="auto">
        <a:xfrm>
          <a:off x="85725" y="38938200"/>
          <a:ext cx="8763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종      별</a:t>
          </a:r>
        </a:p>
      </xdr:txBody>
    </xdr:sp>
    <xdr:clientData/>
  </xdr:twoCellAnchor>
  <xdr:twoCellAnchor>
    <xdr:from>
      <xdr:col>2</xdr:col>
      <xdr:colOff>78105</xdr:colOff>
      <xdr:row>224</xdr:row>
      <xdr:rowOff>0</xdr:rowOff>
    </xdr:from>
    <xdr:to>
      <xdr:col>2</xdr:col>
      <xdr:colOff>588645</xdr:colOff>
      <xdr:row>224</xdr:row>
      <xdr:rowOff>0</xdr:rowOff>
    </xdr:to>
    <xdr:sp macro="" textlink="">
      <xdr:nvSpPr>
        <xdr:cNvPr id="55419" name="Text 19">
          <a:extLst>
            <a:ext uri="{FF2B5EF4-FFF2-40B4-BE49-F238E27FC236}">
              <a16:creationId xmlns:a16="http://schemas.microsoft.com/office/drawing/2014/main" id="{00000000-0008-0000-1100-00007BD80000}"/>
            </a:ext>
          </a:extLst>
        </xdr:cNvPr>
        <xdr:cNvSpPr txBox="1">
          <a:spLocks noChangeArrowheads="1"/>
        </xdr:cNvSpPr>
      </xdr:nvSpPr>
      <xdr:spPr bwMode="auto">
        <a:xfrm>
          <a:off x="2152650" y="38252400"/>
          <a:ext cx="5715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원   수</a:t>
          </a:r>
        </a:p>
      </xdr:txBody>
    </xdr:sp>
    <xdr:clientData/>
  </xdr:twoCellAnchor>
  <xdr:twoCellAnchor>
    <xdr:from>
      <xdr:col>3</xdr:col>
      <xdr:colOff>89535</xdr:colOff>
      <xdr:row>224</xdr:row>
      <xdr:rowOff>0</xdr:rowOff>
    </xdr:from>
    <xdr:to>
      <xdr:col>3</xdr:col>
      <xdr:colOff>422819</xdr:colOff>
      <xdr:row>224</xdr:row>
      <xdr:rowOff>0</xdr:rowOff>
    </xdr:to>
    <xdr:sp macro="" textlink="">
      <xdr:nvSpPr>
        <xdr:cNvPr id="55420" name="Text 20">
          <a:extLst>
            <a:ext uri="{FF2B5EF4-FFF2-40B4-BE49-F238E27FC236}">
              <a16:creationId xmlns:a16="http://schemas.microsoft.com/office/drawing/2014/main" id="{00000000-0008-0000-1100-00007CD80000}"/>
            </a:ext>
          </a:extLst>
        </xdr:cNvPr>
        <xdr:cNvSpPr txBox="1">
          <a:spLocks noChangeArrowheads="1"/>
        </xdr:cNvSpPr>
      </xdr:nvSpPr>
      <xdr:spPr bwMode="auto">
        <a:xfrm>
          <a:off x="2857500" y="38252400"/>
          <a:ext cx="3714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단   위</a:t>
          </a:r>
        </a:p>
      </xdr:txBody>
    </xdr:sp>
    <xdr:clientData/>
  </xdr:twoCellAnchor>
  <xdr:twoCellAnchor>
    <xdr:from>
      <xdr:col>0</xdr:col>
      <xdr:colOff>78105</xdr:colOff>
      <xdr:row>224</xdr:row>
      <xdr:rowOff>0</xdr:rowOff>
    </xdr:from>
    <xdr:to>
      <xdr:col>0</xdr:col>
      <xdr:colOff>862965</xdr:colOff>
      <xdr:row>224</xdr:row>
      <xdr:rowOff>0</xdr:rowOff>
    </xdr:to>
    <xdr:sp macro="" textlink="">
      <xdr:nvSpPr>
        <xdr:cNvPr id="55421" name="Text 21">
          <a:extLst>
            <a:ext uri="{FF2B5EF4-FFF2-40B4-BE49-F238E27FC236}">
              <a16:creationId xmlns:a16="http://schemas.microsoft.com/office/drawing/2014/main" id="{00000000-0008-0000-1100-00007DD80000}"/>
            </a:ext>
          </a:extLst>
        </xdr:cNvPr>
        <xdr:cNvSpPr txBox="1">
          <a:spLocks noChangeArrowheads="1"/>
        </xdr:cNvSpPr>
      </xdr:nvSpPr>
      <xdr:spPr bwMode="auto">
        <a:xfrm>
          <a:off x="85725" y="38252400"/>
          <a:ext cx="8763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종      별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177165</xdr:colOff>
      <xdr:row>15</xdr:row>
      <xdr:rowOff>0</xdr:rowOff>
    </xdr:from>
    <xdr:to>
      <xdr:col>0</xdr:col>
      <xdr:colOff>1143225</xdr:colOff>
      <xdr:row>15</xdr:row>
      <xdr:rowOff>0</xdr:rowOff>
    </xdr:to>
    <xdr:sp macro="" textlink="">
      <xdr:nvSpPr>
        <xdr:cNvPr id="56323" name="Text 3">
          <a:extLst>
            <a:ext uri="{FF2B5EF4-FFF2-40B4-BE49-F238E27FC236}">
              <a16:creationId xmlns:a16="http://schemas.microsoft.com/office/drawing/2014/main" id="{00000000-0008-0000-1200-000003DC0000}"/>
            </a:ext>
          </a:extLst>
        </xdr:cNvPr>
        <xdr:cNvSpPr txBox="1">
          <a:spLocks noChangeArrowheads="1"/>
        </xdr:cNvSpPr>
      </xdr:nvSpPr>
      <xdr:spPr bwMode="auto">
        <a:xfrm>
          <a:off x="200025" y="3714750"/>
          <a:ext cx="10953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공    종    명</a:t>
          </a:r>
        </a:p>
      </xdr:txBody>
    </xdr:sp>
    <xdr:clientData/>
  </xdr:twoCellAnchor>
  <xdr:twoCellAnchor>
    <xdr:from>
      <xdr:col>1</xdr:col>
      <xdr:colOff>80010</xdr:colOff>
      <xdr:row>15</xdr:row>
      <xdr:rowOff>0</xdr:rowOff>
    </xdr:from>
    <xdr:to>
      <xdr:col>1</xdr:col>
      <xdr:colOff>1162050</xdr:colOff>
      <xdr:row>15</xdr:row>
      <xdr:rowOff>0</xdr:rowOff>
    </xdr:to>
    <xdr:sp macro="" textlink="">
      <xdr:nvSpPr>
        <xdr:cNvPr id="56324" name="Text 4">
          <a:extLst>
            <a:ext uri="{FF2B5EF4-FFF2-40B4-BE49-F238E27FC236}">
              <a16:creationId xmlns:a16="http://schemas.microsoft.com/office/drawing/2014/main" id="{00000000-0008-0000-1200-000004DC0000}"/>
            </a:ext>
          </a:extLst>
        </xdr:cNvPr>
        <xdr:cNvSpPr txBox="1">
          <a:spLocks noChangeArrowheads="1"/>
        </xdr:cNvSpPr>
      </xdr:nvSpPr>
      <xdr:spPr bwMode="auto">
        <a:xfrm>
          <a:off x="1933575" y="3714750"/>
          <a:ext cx="12192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사  용  기  계</a:t>
          </a:r>
        </a:p>
      </xdr:txBody>
    </xdr:sp>
    <xdr:clientData/>
  </xdr:twoCellAnchor>
  <xdr:twoCellAnchor>
    <xdr:from>
      <xdr:col>0</xdr:col>
      <xdr:colOff>177165</xdr:colOff>
      <xdr:row>15</xdr:row>
      <xdr:rowOff>0</xdr:rowOff>
    </xdr:from>
    <xdr:to>
      <xdr:col>0</xdr:col>
      <xdr:colOff>1143225</xdr:colOff>
      <xdr:row>15</xdr:row>
      <xdr:rowOff>0</xdr:rowOff>
    </xdr:to>
    <xdr:sp macro="" textlink="">
      <xdr:nvSpPr>
        <xdr:cNvPr id="56325" name="Text 5">
          <a:extLst>
            <a:ext uri="{FF2B5EF4-FFF2-40B4-BE49-F238E27FC236}">
              <a16:creationId xmlns:a16="http://schemas.microsoft.com/office/drawing/2014/main" id="{00000000-0008-0000-1200-000005DC0000}"/>
            </a:ext>
          </a:extLst>
        </xdr:cNvPr>
        <xdr:cNvSpPr txBox="1">
          <a:spLocks noChangeArrowheads="1"/>
        </xdr:cNvSpPr>
      </xdr:nvSpPr>
      <xdr:spPr bwMode="auto">
        <a:xfrm>
          <a:off x="200025" y="3714750"/>
          <a:ext cx="10953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공    종    명</a:t>
          </a:r>
        </a:p>
      </xdr:txBody>
    </xdr:sp>
    <xdr:clientData/>
  </xdr:twoCellAnchor>
  <xdr:twoCellAnchor>
    <xdr:from>
      <xdr:col>1</xdr:col>
      <xdr:colOff>80010</xdr:colOff>
      <xdr:row>15</xdr:row>
      <xdr:rowOff>0</xdr:rowOff>
    </xdr:from>
    <xdr:to>
      <xdr:col>1</xdr:col>
      <xdr:colOff>1162050</xdr:colOff>
      <xdr:row>15</xdr:row>
      <xdr:rowOff>0</xdr:rowOff>
    </xdr:to>
    <xdr:sp macro="" textlink="">
      <xdr:nvSpPr>
        <xdr:cNvPr id="56326" name="Text 6">
          <a:extLst>
            <a:ext uri="{FF2B5EF4-FFF2-40B4-BE49-F238E27FC236}">
              <a16:creationId xmlns:a16="http://schemas.microsoft.com/office/drawing/2014/main" id="{00000000-0008-0000-1200-000006DC0000}"/>
            </a:ext>
          </a:extLst>
        </xdr:cNvPr>
        <xdr:cNvSpPr txBox="1">
          <a:spLocks noChangeArrowheads="1"/>
        </xdr:cNvSpPr>
      </xdr:nvSpPr>
      <xdr:spPr bwMode="auto">
        <a:xfrm>
          <a:off x="1933575" y="3714750"/>
          <a:ext cx="12192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사  용  기  계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137160</xdr:colOff>
      <xdr:row>0</xdr:row>
      <xdr:rowOff>0</xdr:rowOff>
    </xdr:from>
    <xdr:to>
      <xdr:col>0</xdr:col>
      <xdr:colOff>1781157</xdr:colOff>
      <xdr:row>0</xdr:row>
      <xdr:rowOff>0</xdr:rowOff>
    </xdr:to>
    <xdr:sp macro="" textlink="">
      <xdr:nvSpPr>
        <xdr:cNvPr id="58369" name="Text 1">
          <a:extLst>
            <a:ext uri="{FF2B5EF4-FFF2-40B4-BE49-F238E27FC236}">
              <a16:creationId xmlns:a16="http://schemas.microsoft.com/office/drawing/2014/main" id="{00000000-0008-0000-1600-000001E40000}"/>
            </a:ext>
          </a:extLst>
        </xdr:cNvPr>
        <xdr:cNvSpPr txBox="1">
          <a:spLocks noChangeArrowheads="1"/>
        </xdr:cNvSpPr>
      </xdr:nvSpPr>
      <xdr:spPr bwMode="auto">
        <a:xfrm>
          <a:off x="152400" y="0"/>
          <a:ext cx="18573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공          종         명</a:t>
          </a:r>
        </a:p>
      </xdr:txBody>
    </xdr:sp>
    <xdr:clientData/>
  </xdr:twoCellAnchor>
  <xdr:twoCellAnchor>
    <xdr:from>
      <xdr:col>1</xdr:col>
      <xdr:colOff>80010</xdr:colOff>
      <xdr:row>0</xdr:row>
      <xdr:rowOff>0</xdr:rowOff>
    </xdr:from>
    <xdr:to>
      <xdr:col>2</xdr:col>
      <xdr:colOff>61</xdr:colOff>
      <xdr:row>0</xdr:row>
      <xdr:rowOff>0</xdr:rowOff>
    </xdr:to>
    <xdr:sp macro="" textlink="">
      <xdr:nvSpPr>
        <xdr:cNvPr id="58370" name="Text 2">
          <a:extLst>
            <a:ext uri="{FF2B5EF4-FFF2-40B4-BE49-F238E27FC236}">
              <a16:creationId xmlns:a16="http://schemas.microsoft.com/office/drawing/2014/main" id="{00000000-0008-0000-1600-000002E40000}"/>
            </a:ext>
          </a:extLst>
        </xdr:cNvPr>
        <xdr:cNvSpPr txBox="1">
          <a:spLocks noChangeArrowheads="1"/>
        </xdr:cNvSpPr>
      </xdr:nvSpPr>
      <xdr:spPr bwMode="auto">
        <a:xfrm>
          <a:off x="2105025" y="0"/>
          <a:ext cx="10858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사 용 기 계</a:t>
          </a:r>
        </a:p>
      </xdr:txBody>
    </xdr:sp>
    <xdr:clientData/>
  </xdr:twoCellAnchor>
  <xdr:twoCellAnchor>
    <xdr:from>
      <xdr:col>0</xdr:col>
      <xdr:colOff>137160</xdr:colOff>
      <xdr:row>0</xdr:row>
      <xdr:rowOff>0</xdr:rowOff>
    </xdr:from>
    <xdr:to>
      <xdr:col>0</xdr:col>
      <xdr:colOff>1781157</xdr:colOff>
      <xdr:row>0</xdr:row>
      <xdr:rowOff>0</xdr:rowOff>
    </xdr:to>
    <xdr:sp macro="" textlink="">
      <xdr:nvSpPr>
        <xdr:cNvPr id="58371" name="Text 7">
          <a:extLst>
            <a:ext uri="{FF2B5EF4-FFF2-40B4-BE49-F238E27FC236}">
              <a16:creationId xmlns:a16="http://schemas.microsoft.com/office/drawing/2014/main" id="{00000000-0008-0000-1600-000003E40000}"/>
            </a:ext>
          </a:extLst>
        </xdr:cNvPr>
        <xdr:cNvSpPr txBox="1">
          <a:spLocks noChangeArrowheads="1"/>
        </xdr:cNvSpPr>
      </xdr:nvSpPr>
      <xdr:spPr bwMode="auto">
        <a:xfrm>
          <a:off x="152400" y="0"/>
          <a:ext cx="18573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공          종         명</a:t>
          </a:r>
        </a:p>
      </xdr:txBody>
    </xdr:sp>
    <xdr:clientData/>
  </xdr:twoCellAnchor>
  <xdr:twoCellAnchor>
    <xdr:from>
      <xdr:col>1</xdr:col>
      <xdr:colOff>80010</xdr:colOff>
      <xdr:row>0</xdr:row>
      <xdr:rowOff>0</xdr:rowOff>
    </xdr:from>
    <xdr:to>
      <xdr:col>2</xdr:col>
      <xdr:colOff>61</xdr:colOff>
      <xdr:row>0</xdr:row>
      <xdr:rowOff>0</xdr:rowOff>
    </xdr:to>
    <xdr:sp macro="" textlink="">
      <xdr:nvSpPr>
        <xdr:cNvPr id="58372" name="Text 8">
          <a:extLst>
            <a:ext uri="{FF2B5EF4-FFF2-40B4-BE49-F238E27FC236}">
              <a16:creationId xmlns:a16="http://schemas.microsoft.com/office/drawing/2014/main" id="{00000000-0008-0000-1600-000004E40000}"/>
            </a:ext>
          </a:extLst>
        </xdr:cNvPr>
        <xdr:cNvSpPr txBox="1">
          <a:spLocks noChangeArrowheads="1"/>
        </xdr:cNvSpPr>
      </xdr:nvSpPr>
      <xdr:spPr bwMode="auto">
        <a:xfrm>
          <a:off x="2105025" y="0"/>
          <a:ext cx="10858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사 용 기 계</a:t>
          </a:r>
        </a:p>
      </xdr:txBody>
    </xdr:sp>
    <xdr:clientData/>
  </xdr:twoCellAnchor>
  <xdr:twoCellAnchor>
    <xdr:from>
      <xdr:col>0</xdr:col>
      <xdr:colOff>217170</xdr:colOff>
      <xdr:row>0</xdr:row>
      <xdr:rowOff>0</xdr:rowOff>
    </xdr:from>
    <xdr:to>
      <xdr:col>0</xdr:col>
      <xdr:colOff>1703070</xdr:colOff>
      <xdr:row>0</xdr:row>
      <xdr:rowOff>0</xdr:rowOff>
    </xdr:to>
    <xdr:sp macro="" textlink="">
      <xdr:nvSpPr>
        <xdr:cNvPr id="58373" name="Text 1">
          <a:extLst>
            <a:ext uri="{FF2B5EF4-FFF2-40B4-BE49-F238E27FC236}">
              <a16:creationId xmlns:a16="http://schemas.microsoft.com/office/drawing/2014/main" id="{00000000-0008-0000-1600-000005E40000}"/>
            </a:ext>
          </a:extLst>
        </xdr:cNvPr>
        <xdr:cNvSpPr txBox="1">
          <a:spLocks noChangeArrowheads="1"/>
        </xdr:cNvSpPr>
      </xdr:nvSpPr>
      <xdr:spPr bwMode="auto">
        <a:xfrm>
          <a:off x="247650" y="0"/>
          <a:ext cx="1676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공     종     명</a:t>
          </a:r>
        </a:p>
      </xdr:txBody>
    </xdr:sp>
    <xdr:clientData/>
  </xdr:twoCellAnchor>
  <xdr:twoCellAnchor>
    <xdr:from>
      <xdr:col>1</xdr:col>
      <xdr:colOff>80010</xdr:colOff>
      <xdr:row>0</xdr:row>
      <xdr:rowOff>0</xdr:rowOff>
    </xdr:from>
    <xdr:to>
      <xdr:col>1</xdr:col>
      <xdr:colOff>923321</xdr:colOff>
      <xdr:row>0</xdr:row>
      <xdr:rowOff>0</xdr:rowOff>
    </xdr:to>
    <xdr:sp macro="" textlink="">
      <xdr:nvSpPr>
        <xdr:cNvPr id="58374" name="Text 2">
          <a:extLst>
            <a:ext uri="{FF2B5EF4-FFF2-40B4-BE49-F238E27FC236}">
              <a16:creationId xmlns:a16="http://schemas.microsoft.com/office/drawing/2014/main" id="{00000000-0008-0000-1600-000006E40000}"/>
            </a:ext>
          </a:extLst>
        </xdr:cNvPr>
        <xdr:cNvSpPr txBox="1">
          <a:spLocks noChangeArrowheads="1"/>
        </xdr:cNvSpPr>
      </xdr:nvSpPr>
      <xdr:spPr bwMode="auto">
        <a:xfrm>
          <a:off x="2105025" y="0"/>
          <a:ext cx="9429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사 용 기 계</a:t>
          </a:r>
        </a:p>
      </xdr:txBody>
    </xdr:sp>
    <xdr:clientData/>
  </xdr:twoCellAnchor>
  <xdr:twoCellAnchor>
    <xdr:from>
      <xdr:col>0</xdr:col>
      <xdr:colOff>217170</xdr:colOff>
      <xdr:row>0</xdr:row>
      <xdr:rowOff>0</xdr:rowOff>
    </xdr:from>
    <xdr:to>
      <xdr:col>0</xdr:col>
      <xdr:colOff>1398270</xdr:colOff>
      <xdr:row>0</xdr:row>
      <xdr:rowOff>0</xdr:rowOff>
    </xdr:to>
    <xdr:sp macro="" textlink="">
      <xdr:nvSpPr>
        <xdr:cNvPr id="58375" name="Text 3">
          <a:extLst>
            <a:ext uri="{FF2B5EF4-FFF2-40B4-BE49-F238E27FC236}">
              <a16:creationId xmlns:a16="http://schemas.microsoft.com/office/drawing/2014/main" id="{00000000-0008-0000-1600-000007E40000}"/>
            </a:ext>
          </a:extLst>
        </xdr:cNvPr>
        <xdr:cNvSpPr txBox="1">
          <a:spLocks noChangeArrowheads="1"/>
        </xdr:cNvSpPr>
      </xdr:nvSpPr>
      <xdr:spPr bwMode="auto">
        <a:xfrm>
          <a:off x="247650" y="0"/>
          <a:ext cx="13335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공     종     명</a:t>
          </a:r>
        </a:p>
      </xdr:txBody>
    </xdr:sp>
    <xdr:clientData/>
  </xdr:twoCellAnchor>
  <xdr:twoCellAnchor>
    <xdr:from>
      <xdr:col>1</xdr:col>
      <xdr:colOff>80010</xdr:colOff>
      <xdr:row>0</xdr:row>
      <xdr:rowOff>0</xdr:rowOff>
    </xdr:from>
    <xdr:to>
      <xdr:col>1</xdr:col>
      <xdr:colOff>857250</xdr:colOff>
      <xdr:row>0</xdr:row>
      <xdr:rowOff>0</xdr:rowOff>
    </xdr:to>
    <xdr:sp macro="" textlink="">
      <xdr:nvSpPr>
        <xdr:cNvPr id="58376" name="Text 4">
          <a:extLst>
            <a:ext uri="{FF2B5EF4-FFF2-40B4-BE49-F238E27FC236}">
              <a16:creationId xmlns:a16="http://schemas.microsoft.com/office/drawing/2014/main" id="{00000000-0008-0000-1600-000008E40000}"/>
            </a:ext>
          </a:extLst>
        </xdr:cNvPr>
        <xdr:cNvSpPr txBox="1">
          <a:spLocks noChangeArrowheads="1"/>
        </xdr:cNvSpPr>
      </xdr:nvSpPr>
      <xdr:spPr bwMode="auto">
        <a:xfrm>
          <a:off x="2105025" y="0"/>
          <a:ext cx="8763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사 용 기 계</a:t>
          </a:r>
        </a:p>
      </xdr:txBody>
    </xdr:sp>
    <xdr:clientData/>
  </xdr:twoCellAnchor>
  <xdr:twoCellAnchor>
    <xdr:from>
      <xdr:col>0</xdr:col>
      <xdr:colOff>217170</xdr:colOff>
      <xdr:row>11</xdr:row>
      <xdr:rowOff>0</xdr:rowOff>
    </xdr:from>
    <xdr:to>
      <xdr:col>0</xdr:col>
      <xdr:colOff>1398270</xdr:colOff>
      <xdr:row>11</xdr:row>
      <xdr:rowOff>0</xdr:rowOff>
    </xdr:to>
    <xdr:sp macro="" textlink="">
      <xdr:nvSpPr>
        <xdr:cNvPr id="58379" name="Text 3">
          <a:extLst>
            <a:ext uri="{FF2B5EF4-FFF2-40B4-BE49-F238E27FC236}">
              <a16:creationId xmlns:a16="http://schemas.microsoft.com/office/drawing/2014/main" id="{00000000-0008-0000-1600-00000BE40000}"/>
            </a:ext>
          </a:extLst>
        </xdr:cNvPr>
        <xdr:cNvSpPr txBox="1">
          <a:spLocks noChangeArrowheads="1"/>
        </xdr:cNvSpPr>
      </xdr:nvSpPr>
      <xdr:spPr bwMode="auto">
        <a:xfrm>
          <a:off x="247650" y="2514600"/>
          <a:ext cx="13335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공     종     명</a:t>
          </a:r>
        </a:p>
      </xdr:txBody>
    </xdr:sp>
    <xdr:clientData/>
  </xdr:twoCellAnchor>
  <xdr:twoCellAnchor>
    <xdr:from>
      <xdr:col>1</xdr:col>
      <xdr:colOff>80010</xdr:colOff>
      <xdr:row>11</xdr:row>
      <xdr:rowOff>0</xdr:rowOff>
    </xdr:from>
    <xdr:to>
      <xdr:col>1</xdr:col>
      <xdr:colOff>857250</xdr:colOff>
      <xdr:row>11</xdr:row>
      <xdr:rowOff>0</xdr:rowOff>
    </xdr:to>
    <xdr:sp macro="" textlink="">
      <xdr:nvSpPr>
        <xdr:cNvPr id="58380" name="Text 4">
          <a:extLst>
            <a:ext uri="{FF2B5EF4-FFF2-40B4-BE49-F238E27FC236}">
              <a16:creationId xmlns:a16="http://schemas.microsoft.com/office/drawing/2014/main" id="{00000000-0008-0000-1600-00000CE40000}"/>
            </a:ext>
          </a:extLst>
        </xdr:cNvPr>
        <xdr:cNvSpPr txBox="1">
          <a:spLocks noChangeArrowheads="1"/>
        </xdr:cNvSpPr>
      </xdr:nvSpPr>
      <xdr:spPr bwMode="auto">
        <a:xfrm>
          <a:off x="2105025" y="2514600"/>
          <a:ext cx="8763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사 용 기 계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80010</xdr:colOff>
      <xdr:row>0</xdr:row>
      <xdr:rowOff>0</xdr:rowOff>
    </xdr:from>
    <xdr:to>
      <xdr:col>0</xdr:col>
      <xdr:colOff>443522</xdr:colOff>
      <xdr:row>0</xdr:row>
      <xdr:rowOff>0</xdr:rowOff>
    </xdr:to>
    <xdr:sp macro="" textlink="">
      <xdr:nvSpPr>
        <xdr:cNvPr id="57345" name="Text 1">
          <a:extLst>
            <a:ext uri="{FF2B5EF4-FFF2-40B4-BE49-F238E27FC236}">
              <a16:creationId xmlns:a16="http://schemas.microsoft.com/office/drawing/2014/main" id="{00000000-0008-0000-1700-000001E00000}"/>
            </a:ext>
          </a:extLst>
        </xdr:cNvPr>
        <xdr:cNvSpPr txBox="1">
          <a:spLocks noChangeArrowheads="1"/>
        </xdr:cNvSpPr>
      </xdr:nvSpPr>
      <xdr:spPr bwMode="auto">
        <a:xfrm>
          <a:off x="95250" y="0"/>
          <a:ext cx="4095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구    분</a:t>
          </a:r>
        </a:p>
      </xdr:txBody>
    </xdr:sp>
    <xdr:clientData/>
  </xdr:twoCellAnchor>
  <xdr:twoCellAnchor>
    <xdr:from>
      <xdr:col>2</xdr:col>
      <xdr:colOff>49530</xdr:colOff>
      <xdr:row>0</xdr:row>
      <xdr:rowOff>0</xdr:rowOff>
    </xdr:from>
    <xdr:to>
      <xdr:col>2</xdr:col>
      <xdr:colOff>382310</xdr:colOff>
      <xdr:row>0</xdr:row>
      <xdr:rowOff>0</xdr:rowOff>
    </xdr:to>
    <xdr:sp macro="" textlink="">
      <xdr:nvSpPr>
        <xdr:cNvPr id="57346" name="Text 2">
          <a:extLst>
            <a:ext uri="{FF2B5EF4-FFF2-40B4-BE49-F238E27FC236}">
              <a16:creationId xmlns:a16="http://schemas.microsoft.com/office/drawing/2014/main" id="{00000000-0008-0000-1700-000002E00000}"/>
            </a:ext>
          </a:extLst>
        </xdr:cNvPr>
        <xdr:cNvSpPr txBox="1">
          <a:spLocks noChangeArrowheads="1"/>
        </xdr:cNvSpPr>
      </xdr:nvSpPr>
      <xdr:spPr bwMode="auto">
        <a:xfrm>
          <a:off x="1466850" y="0"/>
          <a:ext cx="3714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토질</a:t>
          </a:r>
        </a:p>
      </xdr:txBody>
    </xdr:sp>
    <xdr:clientData/>
  </xdr:twoCellAnchor>
  <xdr:twoCellAnchor>
    <xdr:from>
      <xdr:col>13</xdr:col>
      <xdr:colOff>78105</xdr:colOff>
      <xdr:row>0</xdr:row>
      <xdr:rowOff>0</xdr:rowOff>
    </xdr:from>
    <xdr:to>
      <xdr:col>13</xdr:col>
      <xdr:colOff>600515</xdr:colOff>
      <xdr:row>0</xdr:row>
      <xdr:rowOff>0</xdr:rowOff>
    </xdr:to>
    <xdr:sp macro="" textlink="">
      <xdr:nvSpPr>
        <xdr:cNvPr id="57347" name="Text 3">
          <a:extLst>
            <a:ext uri="{FF2B5EF4-FFF2-40B4-BE49-F238E27FC236}">
              <a16:creationId xmlns:a16="http://schemas.microsoft.com/office/drawing/2014/main" id="{00000000-0008-0000-1700-000003E00000}"/>
            </a:ext>
          </a:extLst>
        </xdr:cNvPr>
        <xdr:cNvSpPr txBox="1">
          <a:spLocks noChangeArrowheads="1"/>
        </xdr:cNvSpPr>
      </xdr:nvSpPr>
      <xdr:spPr bwMode="auto">
        <a:xfrm>
          <a:off x="10372725" y="0"/>
          <a:ext cx="590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  고</a:t>
          </a:r>
        </a:p>
      </xdr:txBody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1307363" name="Line 4">
          <a:extLst>
            <a:ext uri="{FF2B5EF4-FFF2-40B4-BE49-F238E27FC236}">
              <a16:creationId xmlns:a16="http://schemas.microsoft.com/office/drawing/2014/main" id="{00000000-0008-0000-1700-0000E3F21300}"/>
            </a:ext>
          </a:extLst>
        </xdr:cNvPr>
        <xdr:cNvSpPr>
          <a:spLocks noChangeShapeType="1"/>
        </xdr:cNvSpPr>
      </xdr:nvSpPr>
      <xdr:spPr bwMode="auto">
        <a:xfrm>
          <a:off x="6172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1307364" name="Line 5">
          <a:extLst>
            <a:ext uri="{FF2B5EF4-FFF2-40B4-BE49-F238E27FC236}">
              <a16:creationId xmlns:a16="http://schemas.microsoft.com/office/drawing/2014/main" id="{00000000-0008-0000-1700-0000E4F21300}"/>
            </a:ext>
          </a:extLst>
        </xdr:cNvPr>
        <xdr:cNvSpPr>
          <a:spLocks noChangeShapeType="1"/>
        </xdr:cNvSpPr>
      </xdr:nvSpPr>
      <xdr:spPr bwMode="auto">
        <a:xfrm>
          <a:off x="260604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274320</xdr:colOff>
      <xdr:row>0</xdr:row>
      <xdr:rowOff>0</xdr:rowOff>
    </xdr:from>
    <xdr:to>
      <xdr:col>0</xdr:col>
      <xdr:colOff>274320</xdr:colOff>
      <xdr:row>0</xdr:row>
      <xdr:rowOff>0</xdr:rowOff>
    </xdr:to>
    <xdr:sp macro="" textlink="">
      <xdr:nvSpPr>
        <xdr:cNvPr id="1307365" name="Line 6">
          <a:extLst>
            <a:ext uri="{FF2B5EF4-FFF2-40B4-BE49-F238E27FC236}">
              <a16:creationId xmlns:a16="http://schemas.microsoft.com/office/drawing/2014/main" id="{00000000-0008-0000-1700-0000E5F21300}"/>
            </a:ext>
          </a:extLst>
        </xdr:cNvPr>
        <xdr:cNvSpPr>
          <a:spLocks noChangeShapeType="1"/>
        </xdr:cNvSpPr>
      </xdr:nvSpPr>
      <xdr:spPr bwMode="auto">
        <a:xfrm>
          <a:off x="27432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307366" name="Line 7">
          <a:extLst>
            <a:ext uri="{FF2B5EF4-FFF2-40B4-BE49-F238E27FC236}">
              <a16:creationId xmlns:a16="http://schemas.microsoft.com/office/drawing/2014/main" id="{00000000-0008-0000-1700-0000E6F21300}"/>
            </a:ext>
          </a:extLst>
        </xdr:cNvPr>
        <xdr:cNvSpPr>
          <a:spLocks noChangeShapeType="1"/>
        </xdr:cNvSpPr>
      </xdr:nvSpPr>
      <xdr:spPr bwMode="auto">
        <a:xfrm>
          <a:off x="12496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129540</xdr:colOff>
      <xdr:row>0</xdr:row>
      <xdr:rowOff>0</xdr:rowOff>
    </xdr:from>
    <xdr:to>
      <xdr:col>5</xdr:col>
      <xdr:colOff>129540</xdr:colOff>
      <xdr:row>0</xdr:row>
      <xdr:rowOff>0</xdr:rowOff>
    </xdr:to>
    <xdr:sp macro="" textlink="">
      <xdr:nvSpPr>
        <xdr:cNvPr id="1307367" name="Line 8">
          <a:extLst>
            <a:ext uri="{FF2B5EF4-FFF2-40B4-BE49-F238E27FC236}">
              <a16:creationId xmlns:a16="http://schemas.microsoft.com/office/drawing/2014/main" id="{00000000-0008-0000-1700-0000E7F21300}"/>
            </a:ext>
          </a:extLst>
        </xdr:cNvPr>
        <xdr:cNvSpPr>
          <a:spLocks noChangeShapeType="1"/>
        </xdr:cNvSpPr>
      </xdr:nvSpPr>
      <xdr:spPr bwMode="auto">
        <a:xfrm>
          <a:off x="341376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594360</xdr:colOff>
      <xdr:row>0</xdr:row>
      <xdr:rowOff>0</xdr:rowOff>
    </xdr:from>
    <xdr:to>
      <xdr:col>7</xdr:col>
      <xdr:colOff>594360</xdr:colOff>
      <xdr:row>0</xdr:row>
      <xdr:rowOff>0</xdr:rowOff>
    </xdr:to>
    <xdr:sp macro="" textlink="">
      <xdr:nvSpPr>
        <xdr:cNvPr id="1307368" name="Line 9">
          <a:extLst>
            <a:ext uri="{FF2B5EF4-FFF2-40B4-BE49-F238E27FC236}">
              <a16:creationId xmlns:a16="http://schemas.microsoft.com/office/drawing/2014/main" id="{00000000-0008-0000-1700-0000E8F21300}"/>
            </a:ext>
          </a:extLst>
        </xdr:cNvPr>
        <xdr:cNvSpPr>
          <a:spLocks noChangeShapeType="1"/>
        </xdr:cNvSpPr>
      </xdr:nvSpPr>
      <xdr:spPr bwMode="auto">
        <a:xfrm>
          <a:off x="523494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307369" name="Line 10">
          <a:extLst>
            <a:ext uri="{FF2B5EF4-FFF2-40B4-BE49-F238E27FC236}">
              <a16:creationId xmlns:a16="http://schemas.microsoft.com/office/drawing/2014/main" id="{00000000-0008-0000-1700-0000E9F21300}"/>
            </a:ext>
          </a:extLst>
        </xdr:cNvPr>
        <xdr:cNvSpPr>
          <a:spLocks noChangeShapeType="1"/>
        </xdr:cNvSpPr>
      </xdr:nvSpPr>
      <xdr:spPr bwMode="auto">
        <a:xfrm>
          <a:off x="76581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1307370" name="Line 11">
          <a:extLst>
            <a:ext uri="{FF2B5EF4-FFF2-40B4-BE49-F238E27FC236}">
              <a16:creationId xmlns:a16="http://schemas.microsoft.com/office/drawing/2014/main" id="{00000000-0008-0000-1700-0000EAF21300}"/>
            </a:ext>
          </a:extLst>
        </xdr:cNvPr>
        <xdr:cNvSpPr>
          <a:spLocks noChangeShapeType="1"/>
        </xdr:cNvSpPr>
      </xdr:nvSpPr>
      <xdr:spPr bwMode="auto">
        <a:xfrm>
          <a:off x="915162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80010</xdr:colOff>
      <xdr:row>210</xdr:row>
      <xdr:rowOff>0</xdr:rowOff>
    </xdr:from>
    <xdr:to>
      <xdr:col>6</xdr:col>
      <xdr:colOff>519521</xdr:colOff>
      <xdr:row>210</xdr:row>
      <xdr:rowOff>0</xdr:rowOff>
    </xdr:to>
    <xdr:sp macro="" textlink="">
      <xdr:nvSpPr>
        <xdr:cNvPr id="57371" name="Text 11">
          <a:extLst>
            <a:ext uri="{FF2B5EF4-FFF2-40B4-BE49-F238E27FC236}">
              <a16:creationId xmlns:a16="http://schemas.microsoft.com/office/drawing/2014/main" id="{00000000-0008-0000-1700-00001BE00000}"/>
            </a:ext>
          </a:extLst>
        </xdr:cNvPr>
        <xdr:cNvSpPr txBox="1">
          <a:spLocks noChangeArrowheads="1"/>
        </xdr:cNvSpPr>
      </xdr:nvSpPr>
      <xdr:spPr bwMode="auto">
        <a:xfrm>
          <a:off x="4552950" y="39300150"/>
          <a:ext cx="4857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V₁</a:t>
          </a:r>
        </a:p>
      </xdr:txBody>
    </xdr:sp>
    <xdr:clientData/>
  </xdr:twoCellAnchor>
  <xdr:twoCellAnchor>
    <xdr:from>
      <xdr:col>7</xdr:col>
      <xdr:colOff>80010</xdr:colOff>
      <xdr:row>210</xdr:row>
      <xdr:rowOff>0</xdr:rowOff>
    </xdr:from>
    <xdr:to>
      <xdr:col>7</xdr:col>
      <xdr:colOff>493176</xdr:colOff>
      <xdr:row>210</xdr:row>
      <xdr:rowOff>0</xdr:rowOff>
    </xdr:to>
    <xdr:sp macro="" textlink="">
      <xdr:nvSpPr>
        <xdr:cNvPr id="57372" name="Text 12">
          <a:extLst>
            <a:ext uri="{FF2B5EF4-FFF2-40B4-BE49-F238E27FC236}">
              <a16:creationId xmlns:a16="http://schemas.microsoft.com/office/drawing/2014/main" id="{00000000-0008-0000-1700-00001CE00000}"/>
            </a:ext>
          </a:extLst>
        </xdr:cNvPr>
        <xdr:cNvSpPr txBox="1">
          <a:spLocks noChangeArrowheads="1"/>
        </xdr:cNvSpPr>
      </xdr:nvSpPr>
      <xdr:spPr bwMode="auto">
        <a:xfrm>
          <a:off x="5314950" y="39300150"/>
          <a:ext cx="4667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V₂</a:t>
          </a:r>
        </a:p>
      </xdr:txBody>
    </xdr:sp>
    <xdr:clientData/>
  </xdr:twoCellAnchor>
  <xdr:twoCellAnchor>
    <xdr:from>
      <xdr:col>8</xdr:col>
      <xdr:colOff>80010</xdr:colOff>
      <xdr:row>210</xdr:row>
      <xdr:rowOff>0</xdr:rowOff>
    </xdr:from>
    <xdr:to>
      <xdr:col>8</xdr:col>
      <xdr:colOff>549957</xdr:colOff>
      <xdr:row>210</xdr:row>
      <xdr:rowOff>0</xdr:rowOff>
    </xdr:to>
    <xdr:sp macro="" textlink="">
      <xdr:nvSpPr>
        <xdr:cNvPr id="57373" name="Text 13">
          <a:extLst>
            <a:ext uri="{FF2B5EF4-FFF2-40B4-BE49-F238E27FC236}">
              <a16:creationId xmlns:a16="http://schemas.microsoft.com/office/drawing/2014/main" id="{00000000-0008-0000-1700-00001DE00000}"/>
            </a:ext>
          </a:extLst>
        </xdr:cNvPr>
        <xdr:cNvSpPr txBox="1">
          <a:spLocks noChangeArrowheads="1"/>
        </xdr:cNvSpPr>
      </xdr:nvSpPr>
      <xdr:spPr bwMode="auto">
        <a:xfrm>
          <a:off x="6276975" y="39300150"/>
          <a:ext cx="523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Cm</a:t>
          </a:r>
        </a:p>
      </xdr:txBody>
    </xdr:sp>
    <xdr:clientData/>
  </xdr:twoCellAnchor>
  <xdr:twoCellAnchor>
    <xdr:from>
      <xdr:col>9</xdr:col>
      <xdr:colOff>80010</xdr:colOff>
      <xdr:row>210</xdr:row>
      <xdr:rowOff>0</xdr:rowOff>
    </xdr:from>
    <xdr:to>
      <xdr:col>9</xdr:col>
      <xdr:colOff>384810</xdr:colOff>
      <xdr:row>210</xdr:row>
      <xdr:rowOff>0</xdr:rowOff>
    </xdr:to>
    <xdr:sp macro="" textlink="">
      <xdr:nvSpPr>
        <xdr:cNvPr id="57374" name="Text 14">
          <a:extLst>
            <a:ext uri="{FF2B5EF4-FFF2-40B4-BE49-F238E27FC236}">
              <a16:creationId xmlns:a16="http://schemas.microsoft.com/office/drawing/2014/main" id="{00000000-0008-0000-1700-00001EE00000}"/>
            </a:ext>
          </a:extLst>
        </xdr:cNvPr>
        <xdr:cNvSpPr txBox="1">
          <a:spLocks noChangeArrowheads="1"/>
        </xdr:cNvSpPr>
      </xdr:nvSpPr>
      <xdr:spPr bwMode="auto">
        <a:xfrm>
          <a:off x="7038975" y="39300150"/>
          <a:ext cx="3429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f</a:t>
          </a:r>
        </a:p>
      </xdr:txBody>
    </xdr:sp>
    <xdr:clientData/>
  </xdr:twoCellAnchor>
  <xdr:twoCellAnchor>
    <xdr:from>
      <xdr:col>10</xdr:col>
      <xdr:colOff>80010</xdr:colOff>
      <xdr:row>210</xdr:row>
      <xdr:rowOff>0</xdr:rowOff>
    </xdr:from>
    <xdr:to>
      <xdr:col>10</xdr:col>
      <xdr:colOff>432248</xdr:colOff>
      <xdr:row>210</xdr:row>
      <xdr:rowOff>0</xdr:rowOff>
    </xdr:to>
    <xdr:sp macro="" textlink="">
      <xdr:nvSpPr>
        <xdr:cNvPr id="57375" name="Text 15">
          <a:extLst>
            <a:ext uri="{FF2B5EF4-FFF2-40B4-BE49-F238E27FC236}">
              <a16:creationId xmlns:a16="http://schemas.microsoft.com/office/drawing/2014/main" id="{00000000-0008-0000-1700-00001FE00000}"/>
            </a:ext>
          </a:extLst>
        </xdr:cNvPr>
        <xdr:cNvSpPr txBox="1">
          <a:spLocks noChangeArrowheads="1"/>
        </xdr:cNvSpPr>
      </xdr:nvSpPr>
      <xdr:spPr bwMode="auto">
        <a:xfrm>
          <a:off x="7943850" y="39300150"/>
          <a:ext cx="3905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E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12</xdr:col>
      <xdr:colOff>693964</xdr:colOff>
      <xdr:row>16</xdr:row>
      <xdr:rowOff>104776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15400" y="0"/>
          <a:ext cx="5551714" cy="619125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161925</xdr:rowOff>
    </xdr:from>
    <xdr:to>
      <xdr:col>10</xdr:col>
      <xdr:colOff>0</xdr:colOff>
      <xdr:row>2</xdr:row>
      <xdr:rowOff>114300</xdr:rowOff>
    </xdr:to>
    <xdr:sp macro="" textlink="">
      <xdr:nvSpPr>
        <xdr:cNvPr id="65537" name="Text 11">
          <a:extLst>
            <a:ext uri="{FF2B5EF4-FFF2-40B4-BE49-F238E27FC236}">
              <a16:creationId xmlns:a16="http://schemas.microsoft.com/office/drawing/2014/main" id="{00000000-0008-0000-1F00-000001000100}"/>
            </a:ext>
          </a:extLst>
        </xdr:cNvPr>
        <xdr:cNvSpPr txBox="1">
          <a:spLocks noChangeArrowheads="1"/>
        </xdr:cNvSpPr>
      </xdr:nvSpPr>
      <xdr:spPr bwMode="auto">
        <a:xfrm>
          <a:off x="9448800" y="409575"/>
          <a:ext cx="0" cy="2000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V₁</a:t>
          </a:r>
        </a:p>
      </xdr:txBody>
    </xdr:sp>
    <xdr:clientData/>
  </xdr:twoCellAnchor>
  <xdr:twoCellAnchor>
    <xdr:from>
      <xdr:col>10</xdr:col>
      <xdr:colOff>0</xdr:colOff>
      <xdr:row>1</xdr:row>
      <xdr:rowOff>161925</xdr:rowOff>
    </xdr:from>
    <xdr:to>
      <xdr:col>10</xdr:col>
      <xdr:colOff>0</xdr:colOff>
      <xdr:row>2</xdr:row>
      <xdr:rowOff>114300</xdr:rowOff>
    </xdr:to>
    <xdr:sp macro="" textlink="">
      <xdr:nvSpPr>
        <xdr:cNvPr id="65538" name="Text 12">
          <a:extLst>
            <a:ext uri="{FF2B5EF4-FFF2-40B4-BE49-F238E27FC236}">
              <a16:creationId xmlns:a16="http://schemas.microsoft.com/office/drawing/2014/main" id="{00000000-0008-0000-1F00-000002000100}"/>
            </a:ext>
          </a:extLst>
        </xdr:cNvPr>
        <xdr:cNvSpPr txBox="1">
          <a:spLocks noChangeArrowheads="1"/>
        </xdr:cNvSpPr>
      </xdr:nvSpPr>
      <xdr:spPr bwMode="auto">
        <a:xfrm>
          <a:off x="9448800" y="409575"/>
          <a:ext cx="0" cy="2000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V₂</a:t>
          </a:r>
        </a:p>
      </xdr:txBody>
    </xdr:sp>
    <xdr:clientData/>
  </xdr:twoCellAnchor>
  <xdr:twoCellAnchor>
    <xdr:from>
      <xdr:col>10</xdr:col>
      <xdr:colOff>0</xdr:colOff>
      <xdr:row>1</xdr:row>
      <xdr:rowOff>161925</xdr:rowOff>
    </xdr:from>
    <xdr:to>
      <xdr:col>10</xdr:col>
      <xdr:colOff>0</xdr:colOff>
      <xdr:row>2</xdr:row>
      <xdr:rowOff>114300</xdr:rowOff>
    </xdr:to>
    <xdr:sp macro="" textlink="">
      <xdr:nvSpPr>
        <xdr:cNvPr id="65539" name="Text 13">
          <a:extLst>
            <a:ext uri="{FF2B5EF4-FFF2-40B4-BE49-F238E27FC236}">
              <a16:creationId xmlns:a16="http://schemas.microsoft.com/office/drawing/2014/main" id="{00000000-0008-0000-1F00-000003000100}"/>
            </a:ext>
          </a:extLst>
        </xdr:cNvPr>
        <xdr:cNvSpPr txBox="1">
          <a:spLocks noChangeArrowheads="1"/>
        </xdr:cNvSpPr>
      </xdr:nvSpPr>
      <xdr:spPr bwMode="auto">
        <a:xfrm>
          <a:off x="9448800" y="409575"/>
          <a:ext cx="0" cy="2000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Cm</a:t>
          </a:r>
        </a:p>
      </xdr:txBody>
    </xdr:sp>
    <xdr:clientData/>
  </xdr:twoCellAnchor>
  <xdr:twoCellAnchor>
    <xdr:from>
      <xdr:col>10</xdr:col>
      <xdr:colOff>0</xdr:colOff>
      <xdr:row>1</xdr:row>
      <xdr:rowOff>161925</xdr:rowOff>
    </xdr:from>
    <xdr:to>
      <xdr:col>10</xdr:col>
      <xdr:colOff>0</xdr:colOff>
      <xdr:row>2</xdr:row>
      <xdr:rowOff>114300</xdr:rowOff>
    </xdr:to>
    <xdr:sp macro="" textlink="">
      <xdr:nvSpPr>
        <xdr:cNvPr id="65540" name="Text 14">
          <a:extLst>
            <a:ext uri="{FF2B5EF4-FFF2-40B4-BE49-F238E27FC236}">
              <a16:creationId xmlns:a16="http://schemas.microsoft.com/office/drawing/2014/main" id="{00000000-0008-0000-1F00-000004000100}"/>
            </a:ext>
          </a:extLst>
        </xdr:cNvPr>
        <xdr:cNvSpPr txBox="1">
          <a:spLocks noChangeArrowheads="1"/>
        </xdr:cNvSpPr>
      </xdr:nvSpPr>
      <xdr:spPr bwMode="auto">
        <a:xfrm>
          <a:off x="9448800" y="409575"/>
          <a:ext cx="0" cy="2000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f</a:t>
          </a:r>
        </a:p>
      </xdr:txBody>
    </xdr:sp>
    <xdr:clientData/>
  </xdr:twoCellAnchor>
  <xdr:twoCellAnchor>
    <xdr:from>
      <xdr:col>10</xdr:col>
      <xdr:colOff>0</xdr:colOff>
      <xdr:row>1</xdr:row>
      <xdr:rowOff>161925</xdr:rowOff>
    </xdr:from>
    <xdr:to>
      <xdr:col>10</xdr:col>
      <xdr:colOff>0</xdr:colOff>
      <xdr:row>2</xdr:row>
      <xdr:rowOff>114300</xdr:rowOff>
    </xdr:to>
    <xdr:sp macro="" textlink="">
      <xdr:nvSpPr>
        <xdr:cNvPr id="65541" name="Text 15">
          <a:extLst>
            <a:ext uri="{FF2B5EF4-FFF2-40B4-BE49-F238E27FC236}">
              <a16:creationId xmlns:a16="http://schemas.microsoft.com/office/drawing/2014/main" id="{00000000-0008-0000-1F00-000005000100}"/>
            </a:ext>
          </a:extLst>
        </xdr:cNvPr>
        <xdr:cNvSpPr txBox="1">
          <a:spLocks noChangeArrowheads="1"/>
        </xdr:cNvSpPr>
      </xdr:nvSpPr>
      <xdr:spPr bwMode="auto">
        <a:xfrm>
          <a:off x="9448800" y="409575"/>
          <a:ext cx="0" cy="2000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E</a:t>
          </a:r>
        </a:p>
      </xdr:txBody>
    </xdr:sp>
    <xdr:clientData/>
  </xdr:twoCellAnchor>
  <xdr:twoCellAnchor>
    <xdr:from>
      <xdr:col>10</xdr:col>
      <xdr:colOff>0</xdr:colOff>
      <xdr:row>1</xdr:row>
      <xdr:rowOff>161925</xdr:rowOff>
    </xdr:from>
    <xdr:to>
      <xdr:col>10</xdr:col>
      <xdr:colOff>0</xdr:colOff>
      <xdr:row>2</xdr:row>
      <xdr:rowOff>123825</xdr:rowOff>
    </xdr:to>
    <xdr:sp macro="" textlink="">
      <xdr:nvSpPr>
        <xdr:cNvPr id="65542" name="Text 17">
          <a:extLst>
            <a:ext uri="{FF2B5EF4-FFF2-40B4-BE49-F238E27FC236}">
              <a16:creationId xmlns:a16="http://schemas.microsoft.com/office/drawing/2014/main" id="{00000000-0008-0000-1F00-000006000100}"/>
            </a:ext>
          </a:extLst>
        </xdr:cNvPr>
        <xdr:cNvSpPr txBox="1">
          <a:spLocks noChangeArrowheads="1"/>
        </xdr:cNvSpPr>
      </xdr:nvSpPr>
      <xdr:spPr bwMode="auto">
        <a:xfrm>
          <a:off x="9448800" y="4095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규        격</a:t>
          </a:r>
        </a:p>
      </xdr:txBody>
    </xdr:sp>
    <xdr:clientData/>
  </xdr:twoCellAnchor>
  <xdr:twoCellAnchor>
    <xdr:from>
      <xdr:col>10</xdr:col>
      <xdr:colOff>0</xdr:colOff>
      <xdr:row>1</xdr:row>
      <xdr:rowOff>190500</xdr:rowOff>
    </xdr:from>
    <xdr:to>
      <xdr:col>10</xdr:col>
      <xdr:colOff>0</xdr:colOff>
      <xdr:row>2</xdr:row>
      <xdr:rowOff>123825</xdr:rowOff>
    </xdr:to>
    <xdr:sp macro="" textlink="">
      <xdr:nvSpPr>
        <xdr:cNvPr id="65543" name="Text 19">
          <a:extLst>
            <a:ext uri="{FF2B5EF4-FFF2-40B4-BE49-F238E27FC236}">
              <a16:creationId xmlns:a16="http://schemas.microsoft.com/office/drawing/2014/main" id="{00000000-0008-0000-1F00-000007000100}"/>
            </a:ext>
          </a:extLst>
        </xdr:cNvPr>
        <xdr:cNvSpPr txBox="1">
          <a:spLocks noChangeArrowheads="1"/>
        </xdr:cNvSpPr>
      </xdr:nvSpPr>
      <xdr:spPr bwMode="auto">
        <a:xfrm>
          <a:off x="9448800" y="438150"/>
          <a:ext cx="0" cy="1809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공             종</a:t>
          </a:r>
        </a:p>
      </xdr:txBody>
    </xdr:sp>
    <xdr:clientData/>
  </xdr:twoCellAnchor>
  <xdr:twoCellAnchor>
    <xdr:from>
      <xdr:col>10</xdr:col>
      <xdr:colOff>0</xdr:colOff>
      <xdr:row>1</xdr:row>
      <xdr:rowOff>171450</xdr:rowOff>
    </xdr:from>
    <xdr:to>
      <xdr:col>10</xdr:col>
      <xdr:colOff>0</xdr:colOff>
      <xdr:row>2</xdr:row>
      <xdr:rowOff>133350</xdr:rowOff>
    </xdr:to>
    <xdr:sp macro="" textlink="">
      <xdr:nvSpPr>
        <xdr:cNvPr id="65544" name="Text 20">
          <a:extLst>
            <a:ext uri="{FF2B5EF4-FFF2-40B4-BE49-F238E27FC236}">
              <a16:creationId xmlns:a16="http://schemas.microsoft.com/office/drawing/2014/main" id="{00000000-0008-0000-1F00-000008000100}"/>
            </a:ext>
          </a:extLst>
        </xdr:cNvPr>
        <xdr:cNvSpPr txBox="1">
          <a:spLocks noChangeArrowheads="1"/>
        </xdr:cNvSpPr>
      </xdr:nvSpPr>
      <xdr:spPr bwMode="auto">
        <a:xfrm>
          <a:off x="9448800" y="419100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사용기계</a:t>
          </a:r>
        </a:p>
      </xdr:txBody>
    </xdr:sp>
    <xdr:clientData/>
  </xdr:twoCellAnchor>
  <xdr:twoCellAnchor>
    <xdr:from>
      <xdr:col>10</xdr:col>
      <xdr:colOff>0</xdr:colOff>
      <xdr:row>1</xdr:row>
      <xdr:rowOff>161925</xdr:rowOff>
    </xdr:from>
    <xdr:to>
      <xdr:col>10</xdr:col>
      <xdr:colOff>0</xdr:colOff>
      <xdr:row>2</xdr:row>
      <xdr:rowOff>123825</xdr:rowOff>
    </xdr:to>
    <xdr:sp macro="" textlink="">
      <xdr:nvSpPr>
        <xdr:cNvPr id="65545" name="Text 21">
          <a:extLst>
            <a:ext uri="{FF2B5EF4-FFF2-40B4-BE49-F238E27FC236}">
              <a16:creationId xmlns:a16="http://schemas.microsoft.com/office/drawing/2014/main" id="{00000000-0008-0000-1F00-000009000100}"/>
            </a:ext>
          </a:extLst>
        </xdr:cNvPr>
        <xdr:cNvSpPr txBox="1">
          <a:spLocks noChangeArrowheads="1"/>
        </xdr:cNvSpPr>
      </xdr:nvSpPr>
      <xdr:spPr bwMode="auto">
        <a:xfrm>
          <a:off x="9448800" y="4095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구       분</a:t>
          </a:r>
        </a:p>
      </xdr:txBody>
    </xdr:sp>
    <xdr:clientData/>
  </xdr:twoCellAnchor>
  <xdr:twoCellAnchor>
    <xdr:from>
      <xdr:col>6</xdr:col>
      <xdr:colOff>80010</xdr:colOff>
      <xdr:row>23</xdr:row>
      <xdr:rowOff>0</xdr:rowOff>
    </xdr:from>
    <xdr:to>
      <xdr:col>6</xdr:col>
      <xdr:colOff>519521</xdr:colOff>
      <xdr:row>23</xdr:row>
      <xdr:rowOff>0</xdr:rowOff>
    </xdr:to>
    <xdr:sp macro="" textlink="">
      <xdr:nvSpPr>
        <xdr:cNvPr id="65570" name="Text 11">
          <a:extLst>
            <a:ext uri="{FF2B5EF4-FFF2-40B4-BE49-F238E27FC236}">
              <a16:creationId xmlns:a16="http://schemas.microsoft.com/office/drawing/2014/main" id="{00000000-0008-0000-1F00-000022000100}"/>
            </a:ext>
          </a:extLst>
        </xdr:cNvPr>
        <xdr:cNvSpPr txBox="1">
          <a:spLocks noChangeArrowheads="1"/>
        </xdr:cNvSpPr>
      </xdr:nvSpPr>
      <xdr:spPr bwMode="auto">
        <a:xfrm>
          <a:off x="6105525" y="5695950"/>
          <a:ext cx="4857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V₁</a:t>
          </a:r>
        </a:p>
      </xdr:txBody>
    </xdr:sp>
    <xdr:clientData/>
  </xdr:twoCellAnchor>
  <xdr:twoCellAnchor>
    <xdr:from>
      <xdr:col>7</xdr:col>
      <xdr:colOff>80010</xdr:colOff>
      <xdr:row>23</xdr:row>
      <xdr:rowOff>0</xdr:rowOff>
    </xdr:from>
    <xdr:to>
      <xdr:col>7</xdr:col>
      <xdr:colOff>493176</xdr:colOff>
      <xdr:row>23</xdr:row>
      <xdr:rowOff>0</xdr:rowOff>
    </xdr:to>
    <xdr:sp macro="" textlink="">
      <xdr:nvSpPr>
        <xdr:cNvPr id="65571" name="Text 12">
          <a:extLst>
            <a:ext uri="{FF2B5EF4-FFF2-40B4-BE49-F238E27FC236}">
              <a16:creationId xmlns:a16="http://schemas.microsoft.com/office/drawing/2014/main" id="{00000000-0008-0000-1F00-000023000100}"/>
            </a:ext>
          </a:extLst>
        </xdr:cNvPr>
        <xdr:cNvSpPr txBox="1">
          <a:spLocks noChangeArrowheads="1"/>
        </xdr:cNvSpPr>
      </xdr:nvSpPr>
      <xdr:spPr bwMode="auto">
        <a:xfrm>
          <a:off x="7258050" y="5695950"/>
          <a:ext cx="4667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V₂</a:t>
          </a:r>
        </a:p>
      </xdr:txBody>
    </xdr:sp>
    <xdr:clientData/>
  </xdr:twoCellAnchor>
  <xdr:twoCellAnchor>
    <xdr:from>
      <xdr:col>8</xdr:col>
      <xdr:colOff>80010</xdr:colOff>
      <xdr:row>23</xdr:row>
      <xdr:rowOff>0</xdr:rowOff>
    </xdr:from>
    <xdr:to>
      <xdr:col>8</xdr:col>
      <xdr:colOff>549957</xdr:colOff>
      <xdr:row>23</xdr:row>
      <xdr:rowOff>0</xdr:rowOff>
    </xdr:to>
    <xdr:sp macro="" textlink="">
      <xdr:nvSpPr>
        <xdr:cNvPr id="65572" name="Text 13">
          <a:extLst>
            <a:ext uri="{FF2B5EF4-FFF2-40B4-BE49-F238E27FC236}">
              <a16:creationId xmlns:a16="http://schemas.microsoft.com/office/drawing/2014/main" id="{00000000-0008-0000-1F00-000024000100}"/>
            </a:ext>
          </a:extLst>
        </xdr:cNvPr>
        <xdr:cNvSpPr txBox="1">
          <a:spLocks noChangeArrowheads="1"/>
        </xdr:cNvSpPr>
      </xdr:nvSpPr>
      <xdr:spPr bwMode="auto">
        <a:xfrm>
          <a:off x="8020050" y="5695950"/>
          <a:ext cx="523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Cm</a:t>
          </a:r>
        </a:p>
      </xdr:txBody>
    </xdr:sp>
    <xdr:clientData/>
  </xdr:twoCellAnchor>
  <xdr:twoCellAnchor>
    <xdr:from>
      <xdr:col>9</xdr:col>
      <xdr:colOff>80010</xdr:colOff>
      <xdr:row>23</xdr:row>
      <xdr:rowOff>0</xdr:rowOff>
    </xdr:from>
    <xdr:to>
      <xdr:col>9</xdr:col>
      <xdr:colOff>384810</xdr:colOff>
      <xdr:row>23</xdr:row>
      <xdr:rowOff>0</xdr:rowOff>
    </xdr:to>
    <xdr:sp macro="" textlink="">
      <xdr:nvSpPr>
        <xdr:cNvPr id="65573" name="Text 14">
          <a:extLst>
            <a:ext uri="{FF2B5EF4-FFF2-40B4-BE49-F238E27FC236}">
              <a16:creationId xmlns:a16="http://schemas.microsoft.com/office/drawing/2014/main" id="{00000000-0008-0000-1F00-000025000100}"/>
            </a:ext>
          </a:extLst>
        </xdr:cNvPr>
        <xdr:cNvSpPr txBox="1">
          <a:spLocks noChangeArrowheads="1"/>
        </xdr:cNvSpPr>
      </xdr:nvSpPr>
      <xdr:spPr bwMode="auto">
        <a:xfrm>
          <a:off x="8782050" y="5695950"/>
          <a:ext cx="3429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f</a:t>
          </a:r>
        </a:p>
      </xdr:txBody>
    </xdr:sp>
    <xdr:clientData/>
  </xdr:twoCellAnchor>
  <xdr:twoCellAnchor>
    <xdr:from>
      <xdr:col>10</xdr:col>
      <xdr:colOff>80010</xdr:colOff>
      <xdr:row>23</xdr:row>
      <xdr:rowOff>0</xdr:rowOff>
    </xdr:from>
    <xdr:to>
      <xdr:col>10</xdr:col>
      <xdr:colOff>432248</xdr:colOff>
      <xdr:row>23</xdr:row>
      <xdr:rowOff>0</xdr:rowOff>
    </xdr:to>
    <xdr:sp macro="" textlink="">
      <xdr:nvSpPr>
        <xdr:cNvPr id="65574" name="Text 15">
          <a:extLst>
            <a:ext uri="{FF2B5EF4-FFF2-40B4-BE49-F238E27FC236}">
              <a16:creationId xmlns:a16="http://schemas.microsoft.com/office/drawing/2014/main" id="{00000000-0008-0000-1F00-000026000100}"/>
            </a:ext>
          </a:extLst>
        </xdr:cNvPr>
        <xdr:cNvSpPr txBox="1">
          <a:spLocks noChangeArrowheads="1"/>
        </xdr:cNvSpPr>
      </xdr:nvSpPr>
      <xdr:spPr bwMode="auto">
        <a:xfrm>
          <a:off x="9544050" y="5695950"/>
          <a:ext cx="3905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E</a:t>
          </a:r>
        </a:p>
      </xdr:txBody>
    </xdr:sp>
    <xdr:clientData/>
  </xdr:twoCellAnchor>
  <xdr:twoCellAnchor>
    <xdr:from>
      <xdr:col>0</xdr:col>
      <xdr:colOff>146685</xdr:colOff>
      <xdr:row>23</xdr:row>
      <xdr:rowOff>0</xdr:rowOff>
    </xdr:from>
    <xdr:to>
      <xdr:col>1</xdr:col>
      <xdr:colOff>442021</xdr:colOff>
      <xdr:row>23</xdr:row>
      <xdr:rowOff>0</xdr:rowOff>
    </xdr:to>
    <xdr:sp macro="" textlink="">
      <xdr:nvSpPr>
        <xdr:cNvPr id="65575" name="Text 19">
          <a:extLst>
            <a:ext uri="{FF2B5EF4-FFF2-40B4-BE49-F238E27FC236}">
              <a16:creationId xmlns:a16="http://schemas.microsoft.com/office/drawing/2014/main" id="{00000000-0008-0000-1F00-000027000100}"/>
            </a:ext>
          </a:extLst>
        </xdr:cNvPr>
        <xdr:cNvSpPr txBox="1">
          <a:spLocks noChangeArrowheads="1"/>
        </xdr:cNvSpPr>
      </xdr:nvSpPr>
      <xdr:spPr bwMode="auto">
        <a:xfrm>
          <a:off x="161925" y="5695950"/>
          <a:ext cx="1304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공             종</a:t>
          </a:r>
        </a:p>
      </xdr:txBody>
    </xdr:sp>
    <xdr:clientData/>
  </xdr:twoCellAnchor>
  <xdr:twoCellAnchor>
    <xdr:from>
      <xdr:col>2</xdr:col>
      <xdr:colOff>78105</xdr:colOff>
      <xdr:row>23</xdr:row>
      <xdr:rowOff>0</xdr:rowOff>
    </xdr:from>
    <xdr:to>
      <xdr:col>2</xdr:col>
      <xdr:colOff>678394</xdr:colOff>
      <xdr:row>23</xdr:row>
      <xdr:rowOff>0</xdr:rowOff>
    </xdr:to>
    <xdr:sp macro="" textlink="">
      <xdr:nvSpPr>
        <xdr:cNvPr id="65576" name="Text 20">
          <a:extLst>
            <a:ext uri="{FF2B5EF4-FFF2-40B4-BE49-F238E27FC236}">
              <a16:creationId xmlns:a16="http://schemas.microsoft.com/office/drawing/2014/main" id="{00000000-0008-0000-1F00-000028000100}"/>
            </a:ext>
          </a:extLst>
        </xdr:cNvPr>
        <xdr:cNvSpPr txBox="1">
          <a:spLocks noChangeArrowheads="1"/>
        </xdr:cNvSpPr>
      </xdr:nvSpPr>
      <xdr:spPr bwMode="auto">
        <a:xfrm>
          <a:off x="2295525" y="5695950"/>
          <a:ext cx="6762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사용기계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23</xdr:row>
      <xdr:rowOff>0</xdr:rowOff>
    </xdr:from>
    <xdr:to>
      <xdr:col>1</xdr:col>
      <xdr:colOff>304800</xdr:colOff>
      <xdr:row>23</xdr:row>
      <xdr:rowOff>0</xdr:rowOff>
    </xdr:to>
    <xdr:sp macro="" textlink="">
      <xdr:nvSpPr>
        <xdr:cNvPr id="964469" name="Line 19">
          <a:extLst>
            <a:ext uri="{FF2B5EF4-FFF2-40B4-BE49-F238E27FC236}">
              <a16:creationId xmlns:a16="http://schemas.microsoft.com/office/drawing/2014/main" id="{00000000-0008-0000-2000-000075B70E00}"/>
            </a:ext>
          </a:extLst>
        </xdr:cNvPr>
        <xdr:cNvSpPr>
          <a:spLocks noChangeShapeType="1"/>
        </xdr:cNvSpPr>
      </xdr:nvSpPr>
      <xdr:spPr bwMode="auto">
        <a:xfrm>
          <a:off x="1501140" y="5783580"/>
          <a:ext cx="0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304800</xdr:colOff>
      <xdr:row>23</xdr:row>
      <xdr:rowOff>0</xdr:rowOff>
    </xdr:from>
    <xdr:to>
      <xdr:col>1</xdr:col>
      <xdr:colOff>304800</xdr:colOff>
      <xdr:row>23</xdr:row>
      <xdr:rowOff>0</xdr:rowOff>
    </xdr:to>
    <xdr:sp macro="" textlink="">
      <xdr:nvSpPr>
        <xdr:cNvPr id="964470" name="Line 20">
          <a:extLst>
            <a:ext uri="{FF2B5EF4-FFF2-40B4-BE49-F238E27FC236}">
              <a16:creationId xmlns:a16="http://schemas.microsoft.com/office/drawing/2014/main" id="{00000000-0008-0000-2000-000076B70E00}"/>
            </a:ext>
          </a:extLst>
        </xdr:cNvPr>
        <xdr:cNvSpPr>
          <a:spLocks noChangeShapeType="1"/>
        </xdr:cNvSpPr>
      </xdr:nvSpPr>
      <xdr:spPr bwMode="auto">
        <a:xfrm>
          <a:off x="1501140" y="5783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297180</xdr:colOff>
      <xdr:row>23</xdr:row>
      <xdr:rowOff>0</xdr:rowOff>
    </xdr:from>
    <xdr:to>
      <xdr:col>4</xdr:col>
      <xdr:colOff>297180</xdr:colOff>
      <xdr:row>23</xdr:row>
      <xdr:rowOff>0</xdr:rowOff>
    </xdr:to>
    <xdr:sp macro="" textlink="">
      <xdr:nvSpPr>
        <xdr:cNvPr id="964471" name="Line 22">
          <a:extLst>
            <a:ext uri="{FF2B5EF4-FFF2-40B4-BE49-F238E27FC236}">
              <a16:creationId xmlns:a16="http://schemas.microsoft.com/office/drawing/2014/main" id="{00000000-0008-0000-2000-000077B70E00}"/>
            </a:ext>
          </a:extLst>
        </xdr:cNvPr>
        <xdr:cNvSpPr>
          <a:spLocks noChangeShapeType="1"/>
        </xdr:cNvSpPr>
      </xdr:nvSpPr>
      <xdr:spPr bwMode="auto">
        <a:xfrm>
          <a:off x="3276600" y="5783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312420</xdr:colOff>
      <xdr:row>23</xdr:row>
      <xdr:rowOff>0</xdr:rowOff>
    </xdr:from>
    <xdr:to>
      <xdr:col>7</xdr:col>
      <xdr:colOff>312420</xdr:colOff>
      <xdr:row>23</xdr:row>
      <xdr:rowOff>0</xdr:rowOff>
    </xdr:to>
    <xdr:sp macro="" textlink="">
      <xdr:nvSpPr>
        <xdr:cNvPr id="964472" name="Line 23">
          <a:extLst>
            <a:ext uri="{FF2B5EF4-FFF2-40B4-BE49-F238E27FC236}">
              <a16:creationId xmlns:a16="http://schemas.microsoft.com/office/drawing/2014/main" id="{00000000-0008-0000-2000-000078B70E00}"/>
            </a:ext>
          </a:extLst>
        </xdr:cNvPr>
        <xdr:cNvSpPr>
          <a:spLocks noChangeShapeType="1"/>
        </xdr:cNvSpPr>
      </xdr:nvSpPr>
      <xdr:spPr bwMode="auto">
        <a:xfrm>
          <a:off x="5074920" y="5783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304800</xdr:colOff>
      <xdr:row>23</xdr:row>
      <xdr:rowOff>0</xdr:rowOff>
    </xdr:from>
    <xdr:to>
      <xdr:col>7</xdr:col>
      <xdr:colOff>304800</xdr:colOff>
      <xdr:row>23</xdr:row>
      <xdr:rowOff>0</xdr:rowOff>
    </xdr:to>
    <xdr:sp macro="" textlink="">
      <xdr:nvSpPr>
        <xdr:cNvPr id="964473" name="Line 24">
          <a:extLst>
            <a:ext uri="{FF2B5EF4-FFF2-40B4-BE49-F238E27FC236}">
              <a16:creationId xmlns:a16="http://schemas.microsoft.com/office/drawing/2014/main" id="{00000000-0008-0000-2000-000079B70E00}"/>
            </a:ext>
          </a:extLst>
        </xdr:cNvPr>
        <xdr:cNvSpPr>
          <a:spLocks noChangeShapeType="1"/>
        </xdr:cNvSpPr>
      </xdr:nvSpPr>
      <xdr:spPr bwMode="auto">
        <a:xfrm>
          <a:off x="5067300" y="5783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304800</xdr:colOff>
      <xdr:row>23</xdr:row>
      <xdr:rowOff>0</xdr:rowOff>
    </xdr:from>
    <xdr:to>
      <xdr:col>7</xdr:col>
      <xdr:colOff>304800</xdr:colOff>
      <xdr:row>23</xdr:row>
      <xdr:rowOff>0</xdr:rowOff>
    </xdr:to>
    <xdr:sp macro="" textlink="">
      <xdr:nvSpPr>
        <xdr:cNvPr id="964474" name="Line 40">
          <a:extLst>
            <a:ext uri="{FF2B5EF4-FFF2-40B4-BE49-F238E27FC236}">
              <a16:creationId xmlns:a16="http://schemas.microsoft.com/office/drawing/2014/main" id="{00000000-0008-0000-2000-00007AB70E00}"/>
            </a:ext>
          </a:extLst>
        </xdr:cNvPr>
        <xdr:cNvSpPr>
          <a:spLocks noChangeShapeType="1"/>
        </xdr:cNvSpPr>
      </xdr:nvSpPr>
      <xdr:spPr bwMode="auto">
        <a:xfrm>
          <a:off x="5067300" y="5783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juns1107/&#45236;&#50669;&#49436;/&#50900;&#48324;&#49444;&#44228;&#45236;&#50669;/99&#49444;&#44228;&#51032;&#47280;&#45236;&#50669;/&#44277;&#49324;&#48708;99-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629;&#47924;&#54260;&#45908;/&#45236;&#50669;&#49436;/&#50900;&#48324;&#49444;&#44228;&#45236;&#50669;&#49436;/juns&#50629;&#47924;&#54260;&#45908;/&#45236;&#50669;&#49436;/&#50900;&#48324;&#49444;&#44228;&#45236;&#50669;/99&#49444;&#44228;&#51032;&#47280;&#45236;&#50669;/&#44277;&#49324;&#48708;99-1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2001&#52572;&#50980;&#47925;&#50629;&#47924;&#54260;&#45908;/&#54788;&#51109;&#48324;&#49444;&#44228;/&#44592;&#53440;&#51648;&#44396;11&#50900;/&#51109;&#55141;&#51648;&#48512;/juns&#50629;&#47924;&#54260;&#45908;/&#45236;&#50669;&#49436;/&#50900;&#48324;&#49444;&#44228;&#45236;&#50669;/99&#49444;&#44228;&#51032;&#47280;&#45236;&#50669;/&#44277;&#49324;&#48708;99-1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2000&#52572;&#50980;&#47925;&#50629;&#47924;&#54260;&#45908;/&#51068;&#48152;&#50629;&#47924;/99&#49444;&#44228;&#51032;&#47280;&#45236;&#50669;/&#44277;&#49324;&#48708;99-1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5236;&#47928;&#49436;\2022&#45380;%20&#51068;&#48152;&#49688;&#53441;&#49324;&#50629;\&#54861;&#49328;&#51648;&#44396;%20&#48176;&#49688;&#44060;&#49440;&#49324;&#50629;\2022&#45380;%20&#54861;&#49328;&#51648;&#44396;%20&#48176;&#49688;&#47196;&#51221;&#48708;&#49324;&#50629;%20&#49444;&#44228;&#49436;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5236;&#47928;&#49436;\&#48148;&#53461;&#54868;&#47732;%20&#54028;&#51068;\2015&#50976;&#51648;&#44288;&#47532;&#49324;&#50629;(&#48512;&#50668;)\&#54200;&#50504;&#54620;&#47932;&#44600;&#51312;&#49457;&#49324;&#50629;(2015&#45380;)\&#48708;&#51221;&#50857;&#49688;&#47196;\&#48708;&#51221;&#50857;&#49688;&#47196;%20&#54200;&#50504;&#54620;&#47932;&#44600;&#51312;&#49457;&#49324;&#50629;%20&#48372;&#50756;&#45236;&#50669;&#49436;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5236;&#47928;&#49436;\2017&#45380;%20&#54620;&#48156;&#45824;&#48708;&#50857;&#49688;&#44060;&#48156;&#49324;&#50629;\&#54616;&#54889;&#51648;&#44396;\2017&#45380;%20&#54616;&#54889;&#50857;&#49688;&#47196;%20&#45453;&#50629;&#50857;&#49688;&#44060;&#48156;&#49324;&#50629;(&#44032;&#47940;&#44537;&#48373;)%20&#49444;&#44228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51221;&#50725;&#44512;/&#47749;&#51116;&#54637;&#54924;&#51109;&#45784;/2025&#45380;%20&#52397;&#50577;&#51648;&#44396;%20&#51648;&#48169;&#46020;%20&#50976;&#51648;&#48372;&#49688;&#44277;&#49324;%20&#51088;&#47308;%20(&#52265;&#44277;&#45236;&#50669;)/2.%20&#49444;&#44228;&#45236;&#50669;&#49436;(2025&#45380;%20&#52397;&#50577;&#51648;&#44396;%20&#51648;&#48169;&#46020;%20&#50976;&#51648;&#48372;&#49688;&#44277;&#49324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&#50976;&#51648;&#44288;&#47532;/&#53748;&#51201;&#47932;&#51228;&#44144;/&#49444;&#44228;/2025&#45380;%20&#48708;&#48393;&#51648;&#44396;/1.%20&#49884;&#54665;&#44228;&#54925;&#49436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5236;&#47928;&#49436;\2022&#45380;%20&#50976;&#51648;&#44288;&#47532;&#44277;&#49324;\&#45224;&#54861;&#51648;&#49548;\2022&#45380;%20&#47560;&#51221;&#50857;&#49688;&#51648;&#44144;%20&#50808;%2022&#44060;&#49548;%20&#50976;&#51648;&#44288;&#47532;&#44277;&#49324;%20&#49444;&#44228;&#49436;(&#50896;&#48376;)%20-%20&#48373;&#49324;&#4837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발주내역"/>
      <sheetName val="설계개요"/>
      <sheetName val="단가"/>
      <sheetName val="ABUT수량-A1"/>
      <sheetName val="내역"/>
      <sheetName val="사유서(출)"/>
      <sheetName val="도로구조공사비"/>
      <sheetName val="도로토공공사비"/>
      <sheetName val="여수토공사비"/>
      <sheetName val="한전납입금"/>
      <sheetName val="수토공단위당"/>
      <sheetName val="집계표"/>
      <sheetName val="공내역"/>
      <sheetName val="계약일반사항"/>
      <sheetName val="VXXXXX"/>
      <sheetName val="제경비요율"/>
      <sheetName val="교각계산"/>
      <sheetName val="조경일람"/>
      <sheetName val="실행철강하도"/>
      <sheetName val="총괄표"/>
      <sheetName val="철집"/>
      <sheetName val="약품설비"/>
      <sheetName val="공사비"/>
      <sheetName val="예가표"/>
      <sheetName val="사리부설"/>
      <sheetName val="재료값"/>
      <sheetName val="자재견적 (대왕) (2)"/>
      <sheetName val="재료비"/>
      <sheetName val="내역서"/>
      <sheetName val="#REF"/>
      <sheetName val="결과조달"/>
      <sheetName val="노무비"/>
      <sheetName val="전기"/>
      <sheetName val="토적"/>
      <sheetName val="NYS"/>
      <sheetName val="전차선로 물량표"/>
      <sheetName val="품셈(기초)"/>
      <sheetName val="요율"/>
      <sheetName val="산출근거"/>
      <sheetName val="현장관리비 산출내역"/>
      <sheetName val="내역표지"/>
      <sheetName val="PAD TR보호대기초"/>
      <sheetName val="가로등기초"/>
      <sheetName val="HANDHOLE(2)"/>
      <sheetName val="일위대가(계측기설치)"/>
      <sheetName val="부안일위"/>
      <sheetName val="unit"/>
      <sheetName val="1.동력공사"/>
      <sheetName val="구조물철거타공정이월"/>
      <sheetName val="일위대가(가설)"/>
      <sheetName val="산수배수"/>
      <sheetName val="1,2공구원가계산서"/>
      <sheetName val="2공구산출내역"/>
      <sheetName val="1공구산출내역서"/>
      <sheetName val="투찰내역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CCTV내역서"/>
      <sheetName val="Sheet2"/>
      <sheetName val="단위가격 "/>
      <sheetName val="횡배수관집현황(2공구)"/>
      <sheetName val="밸브설치"/>
      <sheetName val="금액내역서"/>
      <sheetName val="날개벽"/>
      <sheetName val="일위대가표"/>
      <sheetName val="PIPE내역_FCN_"/>
      <sheetName val="DATE"/>
      <sheetName val="조명시설"/>
      <sheetName val="제출내역 (2)"/>
      <sheetName val="건              축"/>
      <sheetName val="매립"/>
      <sheetName val="98수문일위"/>
      <sheetName val="일위대가"/>
      <sheetName val="참조자료"/>
      <sheetName val="찍기"/>
      <sheetName val="P-산#1-1(WOWA1)"/>
      <sheetName val="일위집계표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설명"/>
      <sheetName val="시공여유율"/>
      <sheetName val="1.토공"/>
      <sheetName val="전선 및 전선관"/>
      <sheetName val="공사비집계"/>
      <sheetName val="고창방향"/>
      <sheetName val="일위대가(목록)"/>
      <sheetName val="자원리스트"/>
      <sheetName val="조건표"/>
      <sheetName val="전기혼잡제경비(45)"/>
      <sheetName val="유림골조"/>
      <sheetName val="가설공사비"/>
      <sheetName val="공사비예산서(토목분)"/>
      <sheetName val="대비"/>
      <sheetName val="터파기및재료"/>
      <sheetName val="설계"/>
      <sheetName val="1단계"/>
      <sheetName val="단면가정"/>
      <sheetName val="부대내역"/>
      <sheetName val="별첨1-임식"/>
      <sheetName val="기본자료"/>
      <sheetName val="총괄내역서"/>
      <sheetName val="Sheet1 (2)"/>
      <sheetName val="천방교접속"/>
      <sheetName val="일위_파일"/>
      <sheetName val="양수장내역"/>
      <sheetName val="양수장"/>
      <sheetName val="견적대비"/>
      <sheetName val="지급자재"/>
      <sheetName val="변경집계표"/>
      <sheetName val="참조"/>
      <sheetName val="날개벽(시점좌측)"/>
      <sheetName val="년도별"/>
      <sheetName val="단면 (2)"/>
      <sheetName val="공사비총괄표"/>
      <sheetName val="1호맨홀토공"/>
      <sheetName val="원가계산서 "/>
      <sheetName val="고용보험료"/>
      <sheetName val="예산내역서"/>
      <sheetName val="9509"/>
      <sheetName val="배수내역"/>
      <sheetName val="입찰안"/>
      <sheetName val="96보완계획7.12"/>
      <sheetName val="업무처리전"/>
      <sheetName val="설계내역서"/>
      <sheetName val="INPUT"/>
      <sheetName val="중기비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남양내역"/>
      <sheetName val="98NS-N"/>
      <sheetName val="MACRO(MCC)"/>
      <sheetName val="수량산출"/>
      <sheetName val="SG"/>
      <sheetName val="입상내역"/>
      <sheetName val="문학간접"/>
      <sheetName val="Sheet1"/>
      <sheetName val="대치판정"/>
      <sheetName val="반중력식옹벽"/>
      <sheetName val="DATA"/>
      <sheetName val="당초명세(평)"/>
      <sheetName val="작업일보"/>
      <sheetName val="표준계약서"/>
      <sheetName val="건축"/>
      <sheetName val="건축-물가변동"/>
      <sheetName val="일반문틀 설치"/>
      <sheetName val="샌딩 에폭시 도장"/>
      <sheetName val="스텐문틀설치"/>
      <sheetName val="주beam"/>
      <sheetName val="1.설계조건"/>
      <sheetName val="가공비"/>
      <sheetName val="원가계산서(집계)"/>
      <sheetName val="일위"/>
      <sheetName val="관급수량총"/>
      <sheetName val="설계조건"/>
      <sheetName val="안정계산"/>
      <sheetName val="단면검토"/>
      <sheetName val="석탄2.3물량"/>
      <sheetName val="수문일위(2012)"/>
      <sheetName val="공장유"/>
      <sheetName val="안정검토"/>
      <sheetName val="갑지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본선 토공 분배표"/>
      <sheetName val="장비"/>
      <sheetName val="BID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토공총괄표"/>
      <sheetName val="TYPE-A"/>
      <sheetName val="자재단가비교표"/>
      <sheetName val="단가산출"/>
      <sheetName val="청하배수"/>
      <sheetName val="설계명세서"/>
      <sheetName val="예산명세서"/>
      <sheetName val="자료입력"/>
      <sheetName val="설치중량_"/>
      <sheetName val="수문일위_"/>
      <sheetName val="계산근거"/>
      <sheetName val="200"/>
      <sheetName val="총괄내역"/>
      <sheetName val="제진기"/>
      <sheetName val="원가계산서"/>
      <sheetName val="CAT_5"/>
      <sheetName val="M-EQPT-Z"/>
      <sheetName val="교각1"/>
      <sheetName val="CODE"/>
      <sheetName val="COPING"/>
      <sheetName val="기초공"/>
      <sheetName val="MOTOR"/>
      <sheetName val="기둥(원형)"/>
      <sheetName val="8.PILE  (돌출)"/>
      <sheetName val="현산지구200420"/>
      <sheetName val="수지예산서(세부) (2)"/>
      <sheetName val="단가일람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본지점중"/>
      <sheetName val="상 부"/>
      <sheetName val="지장물C"/>
      <sheetName val="견적"/>
      <sheetName val="수량이동"/>
      <sheetName val="가도공"/>
      <sheetName val="분전함신설"/>
      <sheetName val="접지1종"/>
      <sheetName val="기기리스트"/>
      <sheetName val="기존구조물철거집계계표"/>
      <sheetName val="일위대가목차"/>
      <sheetName val="충돌 내용"/>
      <sheetName val="장문교(대전)"/>
      <sheetName val="주재료비"/>
      <sheetName val="계화총괄"/>
      <sheetName val="계화배수(3대)"/>
      <sheetName val="공통"/>
      <sheetName val="약품공급2"/>
      <sheetName val="공문"/>
      <sheetName val="6PILE  (돌출)"/>
      <sheetName val="단가산출내역(노임부분수정)"/>
      <sheetName val="공통비총괄표"/>
      <sheetName val="재개발"/>
      <sheetName val="토총괄 (2)"/>
      <sheetName val="음봉방향"/>
      <sheetName val="원형1호맨홀토공수량"/>
      <sheetName val="내역서1"/>
      <sheetName val="차액보증"/>
      <sheetName val="자재견적_(대왕)_(2)"/>
      <sheetName val="D-623D"/>
      <sheetName val="경비2내역"/>
      <sheetName val="국내"/>
      <sheetName val="1NYS(당)"/>
      <sheetName val="아파트 "/>
      <sheetName val="A(Rev.3)"/>
      <sheetName val="Macro"/>
      <sheetName val="Taux"/>
      <sheetName val="입력시트"/>
      <sheetName val="3.하중산정4.지지력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증감내역서"/>
      <sheetName val="기계경비일람"/>
      <sheetName val="계화배수"/>
      <sheetName val="각형맨홀"/>
      <sheetName val="정공공사"/>
      <sheetName val="기계경비(시간당)"/>
      <sheetName val="램머"/>
      <sheetName val="단가조사"/>
      <sheetName val="Baby일위대가"/>
      <sheetName val="조건"/>
      <sheetName val="전체도급"/>
      <sheetName val="부대대비"/>
      <sheetName val="냉연집계"/>
      <sheetName val="기자재비"/>
      <sheetName val="EP0618"/>
      <sheetName val="1-1"/>
      <sheetName val="Y-WORK"/>
      <sheetName val="Sheet4"/>
      <sheetName val="준검 내역서"/>
      <sheetName val="strut type"/>
      <sheetName val="DATA1"/>
      <sheetName val="부표총괄"/>
      <sheetName val="간접비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유입량"/>
      <sheetName val=" 냉각수펌프"/>
      <sheetName val="INPUT(덕도방향-시점)"/>
      <sheetName val="COPING-1"/>
      <sheetName val="역T형교대-2수량"/>
      <sheetName val="공사비내역서"/>
      <sheetName val="산근터빈"/>
      <sheetName val="3.공통공사대비"/>
      <sheetName val="자재일위(경)"/>
      <sheetName val="갑지(추정)"/>
      <sheetName val="Macro1"/>
      <sheetName val="이설도로유용토"/>
      <sheetName val="사  업  비  수  지  예  산  서"/>
      <sheetName val="손익분석"/>
      <sheetName val="공사비증감"/>
      <sheetName val="1.설계기준"/>
      <sheetName val="NAI"/>
      <sheetName val="실행예산(97.12.17)"/>
      <sheetName val="집계표(육상)"/>
      <sheetName val="TOWER 12TON"/>
      <sheetName val="TOWER 10TON"/>
      <sheetName val="포장물량집계"/>
      <sheetName val="b_balju_cho"/>
      <sheetName val="새공통"/>
      <sheetName val="화해(함평)"/>
      <sheetName val="화해(장성)"/>
      <sheetName val="인부신상자료"/>
      <sheetName val="BLOCK(1)"/>
      <sheetName val="위치조서"/>
      <sheetName val="Total"/>
      <sheetName val="Macro2"/>
      <sheetName val="제수변수량"/>
      <sheetName val="1062-X방향 "/>
      <sheetName val="플랜트 설치"/>
      <sheetName val="교량하부공"/>
      <sheetName val="토사(PE)"/>
      <sheetName val="tggwan(mac)"/>
      <sheetName val="일반부표"/>
      <sheetName val="IW-LIST"/>
      <sheetName val="000000"/>
      <sheetName val="견적대비표"/>
      <sheetName val="A1"/>
      <sheetName val="집수정(600-700)"/>
      <sheetName val="신표지1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공통부대비"/>
      <sheetName val="단위가격"/>
      <sheetName val="단가보완"/>
      <sheetName val="PIPE내역(FCN)"/>
      <sheetName val="Sheet3"/>
      <sheetName val="입력값"/>
      <sheetName val="설계기준 및 하중계산"/>
      <sheetName val="BSD (2)"/>
      <sheetName val="착공내역서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JUCK"/>
      <sheetName val="연결관암거"/>
      <sheetName val=""/>
      <sheetName val="간접비총계"/>
      <sheetName val="부안변전"/>
      <sheetName val="연면적(평)단가"/>
      <sheetName val="구의33고"/>
      <sheetName val="B.O.M"/>
      <sheetName val="ESC(K치)"/>
      <sheetName val="CTEMCOST"/>
      <sheetName val="대림경상68억"/>
      <sheetName val="cal"/>
      <sheetName val="Eq. Mobilization"/>
      <sheetName val="PI"/>
      <sheetName val="계수시트"/>
      <sheetName val="용수간선"/>
      <sheetName val="수문보고"/>
      <sheetName val="국공유지및사유지"/>
      <sheetName val="S0"/>
      <sheetName val="대로근거"/>
      <sheetName val="중로근거"/>
      <sheetName val="진로도급"/>
      <sheetName val="백호우계수"/>
      <sheetName val="N賃率-職"/>
      <sheetName val="연돌일위집계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TOTAL3"/>
      <sheetName val="DHEQSUPT"/>
      <sheetName val="S.중기사용료"/>
      <sheetName val="입력란"/>
      <sheetName val="97노임단가"/>
      <sheetName val="시행후면적"/>
      <sheetName val="수지예산"/>
      <sheetName val="케이슨Type-A(제원)"/>
      <sheetName val="수로단위수량"/>
      <sheetName val="총집계표"/>
      <sheetName val="LRT Style BOQ"/>
      <sheetName val="3.바닥판설계"/>
      <sheetName val="호안블럭단가"/>
      <sheetName val="맨홀수량산출"/>
      <sheetName val="아울렛박스"/>
      <sheetName val="소산진입"/>
      <sheetName val="사업수지"/>
      <sheetName val="포장공위치조서"/>
      <sheetName val="Macro(전선)"/>
      <sheetName val="내역적용"/>
      <sheetName val="CC16-내역서"/>
      <sheetName val="노무비계"/>
      <sheetName val="1공구원가계산서"/>
      <sheetName val="단면설계"/>
      <sheetName val="투찰"/>
      <sheetName val="제직재"/>
      <sheetName val="설직재-1"/>
      <sheetName val="제-노임"/>
      <sheetName val="3도로"/>
      <sheetName val="다곡2교"/>
      <sheetName val="공사총원가계多⾊"/>
      <sheetName val="입력단가"/>
      <sheetName val="마-2.전화"/>
      <sheetName val="구천"/>
      <sheetName val="자료"/>
      <sheetName val="무근깨기"/>
      <sheetName val="골조시행"/>
      <sheetName val="수량산출서 갑지"/>
      <sheetName val="공구원가계산"/>
      <sheetName val="산근(PE,300)"/>
      <sheetName val="특2호부관하천산근"/>
      <sheetName val="AHU집계"/>
      <sheetName val="공조기휀"/>
      <sheetName val="공조기"/>
      <sheetName val="DATA-UPS"/>
      <sheetName val="대부예산서"/>
      <sheetName val="DT"/>
      <sheetName val="목표세부명세"/>
      <sheetName val="토적계산서(전체)"/>
      <sheetName val="종단유용(전체)"/>
      <sheetName val="도근좌표"/>
      <sheetName val="3련 BOX"/>
      <sheetName val="데이타"/>
      <sheetName val="식재인부"/>
      <sheetName val="기계경비"/>
      <sheetName val="다곡땭⾘"/>
      <sheetName val="YES-T"/>
      <sheetName val="U-TYPE(1)"/>
      <sheetName val="FOOTING단면력"/>
      <sheetName val="화설내"/>
      <sheetName val="신당동집계표"/>
      <sheetName val="직원유류수불현황"/>
      <sheetName val="TARGET"/>
      <sheetName val="총괄집계표"/>
      <sheetName val="list"/>
      <sheetName val="석문"/>
      <sheetName val="인지"/>
      <sheetName val="신흑2"/>
      <sheetName val="괴산"/>
      <sheetName val="단월"/>
      <sheetName val="산척"/>
      <sheetName val="바인드"/>
      <sheetName val="가격조사서"/>
      <sheetName val="옹벽수량집계"/>
      <sheetName val="롤러"/>
      <sheetName val="BH"/>
      <sheetName val="펌프차타설"/>
      <sheetName val="관리비"/>
      <sheetName val="1.레미콘집계"/>
      <sheetName val="2.아스콘집계"/>
      <sheetName val="3.보도집계"/>
      <sheetName val="4.보차도경계석및 도로경계블럭"/>
      <sheetName val="Ⅰ.골재집계 "/>
      <sheetName val="1차네트공정"/>
      <sheetName val="(A)내역서"/>
      <sheetName val="말뚝지지력산정"/>
      <sheetName val="9GNG운반"/>
      <sheetName val="내역서01"/>
      <sheetName val="DANGA"/>
      <sheetName val="3BL공동구 수량"/>
      <sheetName val="견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청구서 (별지)(3차분)"/>
      <sheetName val="기성내역서(전체,3차)"/>
      <sheetName val="자재일람"/>
      <sheetName val="기계원가계_xd800_"/>
      <sheetName val="건축내역서"/>
      <sheetName val="설비내역서"/>
      <sheetName val="전기내역서"/>
      <sheetName val="data2"/>
      <sheetName val="세골재  T2 변경 현황"/>
      <sheetName val="배관배선 단가조사"/>
      <sheetName val="일위대가집계"/>
      <sheetName val="데리네이타현황"/>
      <sheetName val="3.공통공사_x0000__x0000_"/>
      <sheetName val="보온 회사분"/>
      <sheetName val="RING WALL"/>
      <sheetName val="96노임기준"/>
      <sheetName val="교대(A1)"/>
      <sheetName val="GI-LIST"/>
      <sheetName val="T13(P68~72,78)"/>
      <sheetName val="신규일위대가"/>
      <sheetName val="C3"/>
      <sheetName val="제출내역_(2)"/>
      <sheetName val="전차선로_물량표"/>
      <sheetName val="포장복구집계"/>
      <sheetName val="Baby일_x0000__x0000__x0005_"/>
      <sheetName val="환경기계공정표 (3)"/>
      <sheetName val="깨기"/>
      <sheetName val="내역서적용집계표"/>
      <sheetName val="용역비내역-진짜"/>
      <sheetName val="MODELING"/>
      <sheetName val="공종단가"/>
      <sheetName val="P.M 별"/>
      <sheetName val="48일위(기존)"/>
      <sheetName val="관로조서"/>
      <sheetName val="바닥판"/>
      <sheetName val="정_x0000__x0000__x0005_"/>
      <sheetName val="인건비"/>
      <sheetName val="전체내역서"/>
      <sheetName val="6.7.8.우물통"/>
      <sheetName val="Baby일鄀谏Û"/>
      <sheetName val="Baby일닑⾸_x0005_"/>
      <sheetName val="Requirement(Work Crew)"/>
      <sheetName val="Electricity"/>
      <sheetName val="최적단면"/>
      <sheetName val="송라터널총괄"/>
      <sheetName val="COVER"/>
      <sheetName val="전력"/>
      <sheetName val="woo(mac)"/>
      <sheetName val="설계예시"/>
      <sheetName val="정부노임단가"/>
      <sheetName val="빗물받이(910-510-410)"/>
      <sheetName val="날개벽(TYPE1)"/>
      <sheetName val="우수공"/>
      <sheetName val="PKG"/>
      <sheetName val="본부소개"/>
      <sheetName val="I一般比"/>
      <sheetName val="왕십리방향"/>
      <sheetName val="현금"/>
      <sheetName val="주행"/>
      <sheetName val="4.포장집계"/>
      <sheetName val="연결관산출조서"/>
      <sheetName val="순공사비"/>
      <sheetName val="일_방수"/>
      <sheetName val="대상1"/>
      <sheetName val="요약서"/>
      <sheetName val="단"/>
      <sheetName val="시설물일위"/>
      <sheetName val="집계표(OPTION)"/>
      <sheetName val="평균H"/>
      <sheetName val="우수"/>
      <sheetName val="SLAB"/>
      <sheetName val="공종"/>
      <sheetName val="외주비"/>
      <sheetName val="견적조건"/>
      <sheetName val="저리조양"/>
      <sheetName val="평가데이터"/>
      <sheetName val="2.단면가정"/>
      <sheetName val="b_balj_x0000__x0000__x0005__x0000_彀"/>
      <sheetName val="b_balj_x0000__x0000__x0005__x0000_㻀"/>
      <sheetName val="비탈면보호공수량산출"/>
      <sheetName val="マージン"/>
      <sheetName val="설명(1~8) "/>
      <sheetName val="화산경계"/>
      <sheetName val="설치중량_1"/>
      <sheetName val="수문일위_1"/>
      <sheetName val="자재견적_(대왕)_(2)1"/>
      <sheetName val="현장관리비_산출내역"/>
      <sheetName val="8_PILE__(돌출)"/>
      <sheetName val="耀僵䅛‎ӥ"/>
      <sheetName val="렀హ䆍2"/>
      <sheetName val="Sheet1_(2)"/>
      <sheetName val="상_부"/>
      <sheetName val="단위가격_"/>
      <sheetName val="1_동력공사"/>
      <sheetName val="내역서_(변경)"/>
      <sheetName val="_U형배수관"/>
      <sheetName val="집수정_(우오수)"/>
      <sheetName val="_냉각수펌프"/>
      <sheetName val="PAD_TR보호대기초"/>
      <sheetName val="단면_(2)"/>
      <sheetName val="전선_및_전선관"/>
      <sheetName val="샌딩_에폭시_도장"/>
      <sheetName val="일반문틀_설치"/>
      <sheetName val="건______________축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1_토공"/>
      <sheetName val="원가계산서_"/>
      <sheetName val="96보완계획7_12"/>
      <sheetName val="본선_토공_분배표"/>
      <sheetName val="전화번호DATA_(2001)"/>
      <sheetName val="충돌_내용"/>
      <sheetName val="아파트_"/>
      <sheetName val="공__종__별__집__계__표"/>
      <sheetName val="일__위__대__가__목__록"/>
      <sheetName val="일_위_대_가_표"/>
      <sheetName val="단__가__대__비__표"/>
      <sheetName val="1공구_건정토건_철콘"/>
      <sheetName val="1_설계조건"/>
      <sheetName val="1공구8_개소"/>
      <sheetName val="조립식_가설건물"/>
      <sheetName val="수지예산서(세부)_(2)"/>
      <sheetName val="석탄2_3물량"/>
      <sheetName val="A(Rev_3)"/>
      <sheetName val="6PILE__(돌출)"/>
      <sheetName val="토총괄_(2)"/>
      <sheetName val="3_하중산정4_지지력"/>
      <sheetName val="3_공통공사대비"/>
      <sheetName val="신고분기설정참고"/>
      <sheetName val="견적서갑지연속"/>
      <sheetName val="MAT"/>
      <sheetName val="직재"/>
      <sheetName val="용산1(해보)"/>
      <sheetName val="설계서을"/>
      <sheetName val="횡배수관"/>
      <sheetName val="TEST1"/>
      <sheetName val="산출2-기기동력"/>
      <sheetName val="지선량"/>
      <sheetName val="산출내역서"/>
      <sheetName val="간접재료비산출표-27-30"/>
      <sheetName val="30신설일위대가"/>
      <sheetName val="30집계표"/>
      <sheetName val="B"/>
      <sheetName val="범례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1.설_x0000__x0000_Ā"/>
      <sheetName val="1.설_x0000__x0000__x0005_"/>
      <sheetName val="1.설壆⿜_x0000_"/>
      <sheetName val="옵션"/>
      <sheetName val="합산자재"/>
      <sheetName val="노임근거"/>
      <sheetName val="옵션1"/>
      <sheetName val="합산자재1"/>
      <sheetName val="3. GROUNDING SYSTEM"/>
      <sheetName val="1.경관조명산출"/>
      <sheetName val="1.경관조명산출집계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수량산출표"/>
      <sheetName val="산업_x0000__x0000__x0005_"/>
      <sheetName val="시운전연료"/>
      <sheetName val="1TL종점(1)"/>
      <sheetName val="01"/>
      <sheetName val="날개벽수량표"/>
      <sheetName val="견적의뢰"/>
      <sheetName val="EACT10"/>
      <sheetName val="EKOG10 (2)"/>
      <sheetName val="EKOG10건축"/>
      <sheetName val="노원열병합  건축공사기성내역서"/>
      <sheetName val="전기일위대가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철근단면적"/>
      <sheetName val="이토변실(A3-LINE)"/>
      <sheetName val="이형관중량"/>
      <sheetName val="산근(목록)"/>
      <sheetName val="경비"/>
      <sheetName val="정"/>
      <sheetName val="DATA2000"/>
      <sheetName val="와동수량"/>
      <sheetName val="입력정보"/>
      <sheetName val="노견단위수량"/>
      <sheetName val="노임,재료비"/>
      <sheetName val="횡배수관설치현황"/>
      <sheetName val="금융비용"/>
      <sheetName val="ENE-CAL 1"/>
      <sheetName val="_x005f_x0000__x005f_x000c__x005f_x0000__x005f_x000c__x0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1_설계기준"/>
      <sheetName val="준검_내역서"/>
      <sheetName val="strut_type"/>
      <sheetName val="차집관로,_중계펌프장원가"/>
      <sheetName val="차집관로,_중계펌프장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공사총원가계_x0000__x0000_"/>
      <sheetName val="공사총원가계芨-"/>
      <sheetName val="자재 집계표"/>
      <sheetName val="유동표"/>
      <sheetName val="곡관산근원본"/>
      <sheetName val="수량"/>
      <sheetName val="건축집계"/>
      <sheetName val="기성내역"/>
      <sheetName val="1을"/>
      <sheetName val="토공,철콘"/>
      <sheetName val="소운반"/>
      <sheetName val="제진헾"/>
      <sheetName val="해전배수"/>
      <sheetName val="예산총괄표"/>
      <sheetName val="05년"/>
      <sheetName val="용소리교"/>
      <sheetName val="L형옹벽단위수량(35)"/>
      <sheetName val="L형옹벽_x0006__x0004__x0004__x001a__x001b__x0003__x0004__x000b_"/>
      <sheetName val="_x0000__x0006__x0000__x0000__x0000__x0000_"/>
      <sheetName val="전정1"/>
      <sheetName val="철골"/>
      <sheetName val="마감산출"/>
      <sheetName val="내역(한신APT)"/>
      <sheetName val="7.PILE  (돌출)"/>
      <sheetName val="2"/>
      <sheetName val="40총괄"/>
      <sheetName val="40집계"/>
      <sheetName val="가시설(TYPE-A)"/>
      <sheetName val="1호맨홀가감수량"/>
      <sheetName val="1호맨홀수량산출"/>
      <sheetName val="펌프장토공수량산출"/>
      <sheetName val="woo_mac_"/>
      <sheetName val="예정_3_"/>
      <sheetName val="동원_3_"/>
      <sheetName val="I.설계조건"/>
      <sheetName val="L형옹벽(key)"/>
      <sheetName val="진주방향"/>
      <sheetName val="EQT-ESTN"/>
      <sheetName val="인건-측정"/>
      <sheetName val="정산내역서"/>
      <sheetName val="표준건축비"/>
      <sheetName val="건축(공종별내역서)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대운산출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변경내역대비표(2)"/>
      <sheetName val="경산"/>
      <sheetName val="실행"/>
      <sheetName val="간접"/>
      <sheetName val="일위대가(건축)"/>
      <sheetName val="조도계산"/>
      <sheetName val="세목전체"/>
      <sheetName val="산출내역_x0000__x0000_Ԁ_x0000_"/>
      <sheetName val="공사비명세서"/>
      <sheetName val="1.설"/>
      <sheetName val="Baby일"/>
      <sheetName val="산업"/>
      <sheetName val="b_balj"/>
      <sheetName val="Eq__Mobilization"/>
      <sheetName val="플랜트_설치"/>
      <sheetName val="설계기준_및_하중계산"/>
      <sheetName val="입출재고현황_(2)"/>
      <sheetName val="설_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대가수량"/>
      <sheetName val="개거산출내역"/>
      <sheetName val="3.하중산정枵⿯_x0000__x0000_肨"/>
      <sheetName val="아파트"/>
      <sheetName val="일위대가-1"/>
      <sheetName val="가락화장을지"/>
      <sheetName val="1공구8.개쌃"/>
      <sheetName val="bm(CIcable)"/>
      <sheetName val="흄관헐기(원본)"/>
      <sheetName val="옹벽"/>
      <sheetName val="중간부"/>
      <sheetName val="유천배수장"/>
      <sheetName val="사유"/>
      <sheetName val="증감내역"/>
      <sheetName val="99노임"/>
      <sheetName val="산출서"/>
      <sheetName val="증설시공분"/>
      <sheetName val="교대(A1-A2)"/>
      <sheetName val="감액총괄표"/>
      <sheetName val="로우프"/>
      <sheetName val="데이터입력"/>
      <sheetName val="배선DATA"/>
      <sheetName val="유입_x0000_"/>
      <sheetName val="내역갑지"/>
      <sheetName val="증감표"/>
      <sheetName val="원가계산서(증감)"/>
      <sheetName val="원가계산서 (변경)"/>
      <sheetName val="내역서(변경)"/>
      <sheetName val="품셈총괄표"/>
      <sheetName val="FACTOR"/>
      <sheetName val="수안보-MBR1"/>
      <sheetName val="총집계"/>
      <sheetName val="GAS"/>
      <sheetName val="토적계산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설산1.나"/>
      <sheetName val="본사S"/>
      <sheetName val="공종별내역서"/>
      <sheetName val="1.공사원가"/>
      <sheetName val="복통공Á_x0000_"/>
      <sheetName val="Rekap Addendum"/>
      <sheetName val="Har-mat"/>
      <sheetName val="ASCEandUBC"/>
      <sheetName val="106C0300"/>
      <sheetName val="본체"/>
      <sheetName val="역T형(H=6.0) (2)"/>
      <sheetName val="유효성검사"/>
      <sheetName val="1.(5억 미만)원가계산서(지급) "/>
      <sheetName val="예정(3)"/>
      <sheetName val="동원(3)"/>
      <sheetName val="JUCKEY_x0000_"/>
      <sheetName val="하수처리장-토_x0002__x0004__x0004_"/>
      <sheetName val="ఀ᠀갇_x0001__x0000_"/>
      <sheetName val="?_x000c_?_x000c_??耀僵䅛????_x0001_???‎ӥ_x001b_?_x000c_?_x000c_??"/>
      <sheetName val="?_x000c_?_x000c_??렀హ䆍????_x0001_???2?????_x001c_?_x000c_?"/>
      <sheetName val="2000시행총괄"/>
      <sheetName val="기초자료"/>
      <sheetName val="석탄2ဴ_x0000_倀ﰨ"/>
      <sheetName val="석탄2쎕々/_x0000_"/>
      <sheetName val="여주,이천(명세)"/>
      <sheetName val="D+W"/>
      <sheetName val="KL THÉP MÓNG,DẦM, SÀN, CỘT B2"/>
      <sheetName val="THKLTT THÉP B2"/>
      <sheetName val="計算条件"/>
      <sheetName val="SITE-E"/>
      <sheetName val="Cao độ"/>
      <sheetName val="gvl"/>
      <sheetName val="CHITIET VL-NC-TT -1p"/>
      <sheetName val="chitiet"/>
      <sheetName val="NEW-PANEL"/>
      <sheetName val="MTL(AG)"/>
      <sheetName val="MTL$-INTER"/>
      <sheetName val="Tra_bang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CT -THVLNC"/>
      <sheetName val="TBVL"/>
      <sheetName val="DGNC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2000양배"/>
      <sheetName val="원데이타"/>
      <sheetName val="재료_x0000__x0000_Ԁ_x0000_"/>
      <sheetName val="금융"/>
      <sheetName val="화전내"/>
      <sheetName val="토적1"/>
      <sheetName val="Baby嚸×닑『"/>
      <sheetName val="[내역.XLS]A__MSOffice_Excel_wor_2"/>
      <sheetName val="[내역.XLS]A__MSOffice_Excel_wor_6"/>
      <sheetName val="[내역.XLS]A__MSOffice_Excel_wor_4"/>
      <sheetName val="[내역.XLS]A__MSOffice_Excel_wor_3"/>
      <sheetName val="[내역.XLS]A__MSOffice_Excel_wor_5"/>
      <sheetName val="주현(해보)"/>
      <sheetName val="3.하중산정枵⿯"/>
      <sheetName val="석탄2ဴ"/>
      <sheetName val="착공내_x0000__x0000_"/>
      <sheetName val="통합"/>
      <sheetName val="[내역.XLS]A__MSOffice_Excel_wor_8"/>
      <sheetName val="[내역.XLS]A__MSOffice_Excel_wor_7"/>
      <sheetName val="[내역.XLS]A__MSOffice_Excel_wo_10"/>
      <sheetName val="[내역.XLS]A__MSOffice_Excel_wor_9"/>
      <sheetName val="[내역.XLS]A__MSOffice_Excel_wo_11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산출내역"/>
      <sheetName val="교대"/>
      <sheetName val="자재(원원+원대)"/>
      <sheetName val="종배수관"/>
      <sheetName val="기계공사"/>
      <sheetName val="단가표"/>
      <sheetName val="L형옹벽측구"/>
      <sheetName val="옹벽식측구단위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건축내역(안동)"/>
      <sheetName val="기초목"/>
      <sheetName val="제잡비집계"/>
      <sheetName val="재료"/>
      <sheetName val="FB25JN"/>
      <sheetName val="새공·"/>
      <sheetName val="[내역.XLS]A__MSOffice_Excel_wo_23"/>
      <sheetName val="[내역.XLS]A__MSOffice_Excel_wo_13"/>
      <sheetName val="[내역.XLS]A__MSOffice_Excel_wo_12"/>
      <sheetName val="[내역.XLS]A__MSOffice_Excel_wo_16"/>
      <sheetName val="[내역.XLS]A__MSOffice_Excel_wo_14"/>
      <sheetName val="[내역.XLS]A__MSOffice_Excel_wo_15"/>
      <sheetName val="[내역.XLS]A__MSOffice_Excel_wo_17"/>
      <sheetName val="[내역.XLS]A__MSOffice_Excel_wo_18"/>
      <sheetName val="[내역.XLS]A__MSOffice_Excel_wo_19"/>
      <sheetName val="[내역.XLS]A__MSOffice_Excel_wo_20"/>
      <sheetName val="[내역.XLS]A__MSOffice_Excel_wo_21"/>
      <sheetName val="[내역.XLS]A__MSOffice_Excel_wo_22"/>
      <sheetName val="[내역.XLS]A__MSOffice_Excel_wo_24"/>
      <sheetName val="[내역.XLS]A__MSOffice_Excel_wo_26"/>
      <sheetName val="[내역.XLS]A__MSOffice_Excel_wo_25"/>
      <sheetName val="[내역.XLS]A__MSOffice_Excel_wo_27"/>
      <sheetName val="[내역.XLS]A__MSOffice_Excel_wo_28"/>
      <sheetName val="[내역.XLS]A__MSOffice_Excel_wo_29"/>
      <sheetName val="[내역.XLS]A__MSOffice_Excel_wo_30"/>
      <sheetName val="[내역.XLS]A__MSOffice_Excel_wo_31"/>
      <sheetName val="[내역.XLS]A__MSOffice_Excel_wo_32"/>
      <sheetName val="[내역.XLS]A__MSOffice_Excel_wo_33"/>
      <sheetName val="[내역.XLS]A__MSOffice_Excel_wo_34"/>
      <sheetName val="[내역.XLS]A__MSOffice_Excel_wo_35"/>
      <sheetName val="Supplement2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입찰내역 발주처 양식"/>
      <sheetName val="아이콘"/>
      <sheetName val="DATA(내업)"/>
      <sheetName val="[내역.XLS]석탄2쎕々/_x0000_"/>
      <sheetName val="MAT_N048"/>
      <sheetName val="본사공가현황"/>
      <sheetName val="원가계산서(변경)"/>
      <sheetName val="총투입계"/>
      <sheetName val="SORCE1"/>
      <sheetName val="Sensitivity"/>
      <sheetName val="설계기준"/>
      <sheetName val="내역1"/>
      <sheetName val="[내역.XLS]A__MSOffice_Excel_wo_36"/>
      <sheetName val="[내역.XLS]A__MSOffice_Excel_wo_37"/>
      <sheetName val="하수처리_x0000__x0000_Ԁ_x0000_"/>
      <sheetName val="주입재산출조서"/>
      <sheetName val="상하차비용(기계상차)"/>
      <sheetName val="수간보호"/>
      <sheetName val="운반비"/>
      <sheetName val="방지책개소별명세"/>
      <sheetName val="총내"/>
      <sheetName val="아수배전(1회)"/>
      <sheetName val="간선"/>
      <sheetName val="수로교깨기"/>
      <sheetName val="깨기 총괄"/>
      <sheetName val="남양주댠가표"/>
      <sheetName val="차선도색(1)"/>
      <sheetName val="2_x0000__x0000__x0005_"/>
      <sheetName val="화해(장︀跕"/>
      <sheetName val="중기일위대가"/>
      <sheetName val="원가계산서(남측)"/>
      <sheetName val="9호관로"/>
      <sheetName val="부하집계표"/>
      <sheetName val="식재가격"/>
      <sheetName val="식재총괄"/>
      <sheetName val="청주(철골발주의뢰서)"/>
      <sheetName val="DAN"/>
      <sheetName val="철콘공사"/>
      <sheetName val="상반기손익차2총괄"/>
      <sheetName val="2.대외공문"/>
      <sheetName val="투찰금액"/>
      <sheetName val="단가(1)"/>
      <sheetName val="자  재"/>
      <sheetName val="건축외주"/>
      <sheetName val="웅진교-S2"/>
      <sheetName val="주소록"/>
      <sheetName val="단가 "/>
      <sheetName val="가스"/>
      <sheetName val="자동차폐수처리장"/>
      <sheetName val="하부철근수량"/>
      <sheetName val="제경비율"/>
      <sheetName val="주공기준"/>
      <sheetName val="유림총괄"/>
      <sheetName val="b_balju"/>
      <sheetName val="기본1"/>
      <sheetName val="수정일위대가"/>
      <sheetName val="금광1터널"/>
      <sheetName val="포장재료집계표"/>
      <sheetName val="포장면적산출"/>
      <sheetName val="포장수량집계"/>
      <sheetName val="이름정의"/>
      <sheetName val="_x0000__x0000__x0000__x0004__x0000_"/>
      <sheetName val="설계 갑지"/>
      <sheetName val="접속도로1"/>
      <sheetName val="선로정수계산"/>
      <sheetName val="기성내역서표지"/>
      <sheetName val="골프장예산"/>
      <sheetName val="변수"/>
      <sheetName val="BOX"/>
      <sheetName val="기존단가 (2)"/>
      <sheetName val="직노"/>
      <sheetName val="매매"/>
      <sheetName val="전신"/>
      <sheetName val="을지"/>
      <sheetName val="산출금액내역"/>
      <sheetName val="산1~6"/>
      <sheetName val="내역(총)"/>
      <sheetName val="Macro(차단기)"/>
      <sheetName val="TOTAL_BOQ"/>
      <sheetName val="J直材4"/>
      <sheetName val="부표怀_x0010_"/>
      <sheetName val="3.하중산정4_x0000__x0000__x0005__x0000_"/>
      <sheetName val="설계단Ä"/>
      <sheetName val="[내역.XLS]A__MSOffice_Excel_wo_39"/>
      <sheetName val="Hauptdaten"/>
      <sheetName val="예산변경사항"/>
      <sheetName val="INSTR"/>
      <sheetName val="1.설Ꙩօ됨"/>
      <sheetName val="[내역.XLS]A__MSOffice_Excel_wo_38"/>
      <sheetName val="제비율"/>
      <sheetName val="일위대가목록"/>
      <sheetName val="관보호공조서"/>
      <sheetName val="COPk_x0000__x0000__x0001_Ԁ"/>
      <sheetName val="설비원가"/>
      <sheetName val="안산기계장치"/>
      <sheetName val="식재일위"/>
      <sheetName val="기계설비"/>
      <sheetName val="저"/>
      <sheetName val="부대공Ⅱ"/>
      <sheetName val="[내역.XLS]A__MSOffice_Excel_wo_40"/>
      <sheetName val="[내역.XLS]A__MSOffice_Excel_wo_51"/>
      <sheetName val="집행예산"/>
      <sheetName val="[내역.XLS]A__MSOffice_Excel_wo_41"/>
      <sheetName val="[내역.XLS]A__MSOffice_Excel_wo_46"/>
      <sheetName val="[내역.XLS]A__MSOffice_Excel_wo_42"/>
      <sheetName val="[내역.XLS]A__MSOffice_Excel_wo_43"/>
      <sheetName val="[내역.XLS]A__MSOffice_Excel_wo_44"/>
      <sheetName val="[내역.XLS]A__MSOffice_Excel_wo_45"/>
      <sheetName val="[내역.XLS]A__MSOffice_Excel_wo_47"/>
      <sheetName val="[내역.XLS]A__MSOffice_Excel_wo_49"/>
      <sheetName val="[내역.XLS]A__MSOffice_Excel_wo_48"/>
      <sheetName val="3.공통공사??"/>
      <sheetName val="정??_x0005_"/>
      <sheetName val="패널"/>
      <sheetName val="1-6(반품내역)"/>
      <sheetName val="건축공사 집계표"/>
      <sheetName val="골조"/>
      <sheetName val="0226"/>
      <sheetName val="부속동"/>
      <sheetName val="돈암사업"/>
      <sheetName val="동력"/>
      <sheetName val="변압기"/>
      <sheetName val="[내역.XLS]A__MSOffice_Excel_wo_50"/>
      <sheetName val="[내역.XLS]A__MSOffice_Excel_wo_52"/>
      <sheetName val="1_설계기준3"/>
      <sheetName val="입출재고현황_(2)1"/>
      <sheetName val="설_계1"/>
      <sheetName val="BSD_(2)1"/>
      <sheetName val="차집관로,_중계펌프장원가3"/>
      <sheetName val="차집관로,_중계펌프장3"/>
      <sheetName val="B_O_M1"/>
      <sheetName val="실행예산(97_12_17)3"/>
      <sheetName val="S_중기사용료3"/>
      <sheetName val="3_바닥판설계1"/>
      <sheetName val="보온_회사분1"/>
      <sheetName val="RING_WALL1"/>
      <sheetName val="G_R300경비1"/>
      <sheetName val="1_취수장1"/>
      <sheetName val="중기조종사_단위단가1"/>
      <sheetName val="LRT_Style_BOQ1"/>
      <sheetName val="세골재__T2_변경_현황1"/>
      <sheetName val="TOWER_12TON3"/>
      <sheetName val="TOWER_10TON3"/>
      <sheetName val="환경기계공정표_(3)1"/>
      <sheetName val="1062-X방향_1"/>
      <sheetName val="1_레미콘집계1"/>
      <sheetName val="2_아스콘집계1"/>
      <sheetName val="3_보도집계1"/>
      <sheetName val="4_보차도경계석및_도로경계블럭1"/>
      <sheetName val="Ⅰ_골재집계_1"/>
      <sheetName val="청구서_(별지)(3차분)1"/>
      <sheetName val="P_M_별1"/>
      <sheetName val="배관배선_단가조사1"/>
      <sheetName val="4_포장집계1"/>
      <sheetName val="3련_BOX"/>
      <sheetName val="제당_(13신규)원도급내역"/>
      <sheetName val="제당_(14신규)원도급내역"/>
      <sheetName val="제당_(13신규)하도급내역"/>
      <sheetName val="제당_(14신규)하도급내역_"/>
      <sheetName val="여수토방수로_(13신규)원도급내역"/>
      <sheetName val="여수토방수로_(14신규)원도급내역"/>
      <sheetName val="여수토방수로_(13신규)하도급내역_"/>
      <sheetName val="여수토방수로_(14신규)하도급내역_"/>
      <sheetName val="이설도로_(14신규)원도급내역_"/>
      <sheetName val="이설도로_(14신규)하도급내역"/>
      <sheetName val="2호이설도로_(14신규)원도급내역"/>
      <sheetName val="2호이설도로(하도급내역)_"/>
      <sheetName val="2호이설도로_(14신규)하도급내역"/>
      <sheetName val="사통(하도급내역)_"/>
      <sheetName val="제1호용수지선_(하도급)"/>
      <sheetName val="3BL공동구_수량"/>
      <sheetName val="Requirement(Work_Crew)1"/>
      <sheetName val="2_단면가정"/>
      <sheetName val="6_7_8_우물통"/>
      <sheetName val="1_설"/>
      <sheetName val="1_설Ā"/>
      <sheetName val="1_설壆⿜"/>
      <sheetName val="SUMMARY_"/>
      <sheetName val="SUMMARY__(2)"/>
      <sheetName val="설명(1~8)_"/>
      <sheetName val="EKOG10_(2)"/>
      <sheetName val="노원열병합__건축공사기성내역서"/>
      <sheetName val="3__GROUNDING_SYSTEM"/>
      <sheetName val="1_경관조명산출"/>
      <sheetName val="1_경관조명산출집계"/>
      <sheetName val="b_balj彀"/>
      <sheetName val="b_balj㻀"/>
      <sheetName val="Baby일닑⾸"/>
      <sheetName val="IRR_sponsor"/>
      <sheetName val="2_223M_due_to_adj_profit"/>
      <sheetName val="간접비_총괄표"/>
      <sheetName val="co-no_2"/>
      <sheetName val="personnel_loading"/>
      <sheetName val="INPUT_DATA_HERE"/>
      <sheetName val="bridge_#_1"/>
      <sheetName val="Existing_PC_Pavement"/>
      <sheetName val="마-2_전화"/>
      <sheetName val="자재_집계표"/>
      <sheetName val="I_설계조건"/>
      <sheetName val="ENE-CAL_1"/>
      <sheetName val="5_모델링"/>
      <sheetName val="L형옹벽"/>
      <sheetName val="설산1_나"/>
      <sheetName val="1_공사원가"/>
      <sheetName val="3_공통공사1"/>
      <sheetName val="Macro(전기)"/>
      <sheetName val="방음벽기초"/>
      <sheetName val="[내역.XLS]A__MSOffice_Excel_wo_59"/>
      <sheetName val="TinhGiaNC"/>
      <sheetName val="VCBo"/>
      <sheetName val="DMCP"/>
      <sheetName val="BocXep"/>
      <sheetName val="TinhGiaMTC"/>
      <sheetName val="TH N.Cong"/>
      <sheetName val="VCThuy"/>
      <sheetName val="Gia cuoc moi"/>
      <sheetName val="Bang gia cuoc"/>
      <sheetName val="Bu nhien lieu"/>
      <sheetName val="현설갑지"/>
      <sheetName val="[내역.XLS]A__MSOffice_Excel_wo_56"/>
      <sheetName val="[내역.XLS]A__MSOffice_Excel_wo_53"/>
      <sheetName val="[내역.XLS]A__MSOffice_Excel_wo_55"/>
      <sheetName val="[내역.XLS]A__MSOffice_Excel_wo_54"/>
      <sheetName val="BM"/>
      <sheetName val="[내역.XLS]A__MSOffice_Excel_wo_57"/>
      <sheetName val="[내역.XLS]A__MSOffice_Excel_wo_58"/>
      <sheetName val="간접비총_x0000_"/>
      <sheetName val="Medagama"/>
      <sheetName val="[내역.XLS]A__MSOffice_Excel_wo_60"/>
      <sheetName val="2Ვ쭻"/>
      <sheetName val="BQMPALOC"/>
      <sheetName val="[내역.XLS]A__MSOffice_Excel_wo_61"/>
      <sheetName val="하도급대비"/>
      <sheetName val="[내역.XLS]A__MSOffice_Excel_wo_62"/>
      <sheetName val="구조물공수량집계표 (2)"/>
      <sheetName val="마감사양"/>
      <sheetName val="공통가설"/>
      <sheetName val="신_x0000__x0000_Ԁ"/>
      <sheetName val="1.CB"/>
      <sheetName val="[내역.XLS]A__MSOffice_Excel_wo_63"/>
      <sheetName val="[내역.XLS]A__MSOffice_Excel_wo_64"/>
      <sheetName val="[내역.XLS]A__MSOffice_Excel_wo_65"/>
      <sheetName val="[내역.XLS]A__MSOffice_Excel_wo_66"/>
      <sheetName val="[내역.XLS]A__MSOffice_Excel_wo_67"/>
      <sheetName val="Sheet17"/>
      <sheetName val="[내역.XLS]A__MSOffice_Excel_wo_68"/>
      <sheetName val="[내역.XLS]A__MSOffice_Excel_wo_69"/>
      <sheetName val="[내역.XLS]A__MSOffice_Excel_wo_70"/>
      <sheetName val="[내역.XLS]A__MSOffice_Excel_wo_72"/>
      <sheetName val="[내역.XLS]A__MSOffice_Excel_wo_71"/>
      <sheetName val="[내역.XLS]A__MSOffice_Excel_wo_73"/>
      <sheetName val="[내역.XLS]A__MSOffice_Excel_wo_75"/>
      <sheetName val="[내역.XLS]A__MSOffice_Excel_wo_74"/>
      <sheetName val="[내역.XLS]A__MSOffice_Excel_w_118"/>
      <sheetName val="부서별(배부후)_계획"/>
      <sheetName val="[내역.XLS]A__MSOffice_Excel_w_117"/>
      <sheetName val="[내역.XLS]A__MSOffice_Excel_wo_82"/>
      <sheetName val="[내역.XLS]A__MSOffice_Excel_wo_76"/>
      <sheetName val="[내역.XLS]A__MSOffice_Excel_wo_77"/>
      <sheetName val="[내역.XLS]A__MSOffice_Excel_wo_78"/>
      <sheetName val="[내역.XLS]A__MSOffice_Excel_wo_79"/>
      <sheetName val="[내역.XLS]A__MSOffice_Excel_wo_80"/>
      <sheetName val="[내역.XLS]A__MSOffice_Excel_wo_81"/>
      <sheetName val="[내역.XLS]A__MSOffice_Excel_w_100"/>
      <sheetName val="[내역.XLS]A__MSOffice_Excel_wo_83"/>
      <sheetName val="[내역.XLS]A__MSOffice_Excel_wo_84"/>
      <sheetName val="[내역.XLS]A__MSOffice_Excel_wo_86"/>
      <sheetName val="[내역.XLS]A__MSOffice_Excel_wo_85"/>
      <sheetName val="[내역.XLS]A__MSOffice_Excel_wo_88"/>
      <sheetName val="[내역.XLS]A__MSOffice_Excel_wo_87"/>
      <sheetName val="[내역.XLS]A__MSOffice_Excel_wo_90"/>
      <sheetName val="[내역.XLS]A__MSOffice_Excel_wo_89"/>
      <sheetName val="[내역.XLS]A__MSOffice_Excel_wo_91"/>
      <sheetName val="[내역.XLS]A__MSOffice_Excel_wo_92"/>
      <sheetName val="[내역.XLS]A__MSOffice_Excel_wo_93"/>
      <sheetName val="[내역.XLS]A__MSOffice_Excel_wo_94"/>
      <sheetName val="[내역.XLS]A__MSOffice_Excel_wo_95"/>
      <sheetName val="[내역.XLS]A__MSOffice_Excel_wo_97"/>
      <sheetName val="[내역.XLS]A__MSOffice_Excel_wo_96"/>
      <sheetName val="[내역.XLS]A__MSOffice_Excel_wo_98"/>
      <sheetName val="[내역.XLS]A__MSOffice_Excel_wo_99"/>
      <sheetName val="[내역.XLS]A__MSOffice_Excel_w_102"/>
      <sheetName val="[내역.XLS]A__MSOffice_Excel_w_101"/>
      <sheetName val="[내역.XLS]A__MSOffice_Excel_w_103"/>
      <sheetName val="[내역.XLS]A__MSOffice_Excel_w_104"/>
      <sheetName val="[내역.XLS]A__MSOffice_Excel_w_105"/>
      <sheetName val="[내역.XLS]A__MSOffice_Excel_w_106"/>
      <sheetName val="[내역.XLS]A__MSOffice_Excel_w_107"/>
      <sheetName val="[내역.XLS]A__MSOffice_Excel_w_108"/>
      <sheetName val="[내역.XLS]A__MSOffice_Excel_w_109"/>
      <sheetName val="[내역.XLS]A__MSOffice_Excel_w_111"/>
      <sheetName val="[내역.XLS]A__MSOffice_Excel_w_110"/>
      <sheetName val="[내역.XLS]A__MSOffice_Excel_w_113"/>
      <sheetName val="[내역.XLS]A__MSOffice_Excel_w_112"/>
      <sheetName val="[내역.XLS]A__MSOffice_Excel_w_114"/>
      <sheetName val="[내역.XLS]A__MSOffice_Excel_w_115"/>
      <sheetName val="[내역.XLS]A__MSOffice_Excel_w_116"/>
      <sheetName val="냉연집ç"/>
      <sheetName val="[내역.XLS]A__MSOffice_Excel_w_122"/>
      <sheetName val="[내역.XLS]A__MSOffice_Excel_w_119"/>
      <sheetName val="[내역.XLS]A__MSOffice_Excel_w_121"/>
      <sheetName val="[내역.XLS]A__MSOffice_Excel_w_120"/>
      <sheetName val="[내역.XLS]A__MSOffice_Excel_w_123"/>
      <sheetName val="[내역.XLS]A__MSOffice_Excel_w_124"/>
      <sheetName val="[내역.XLS]A__MSOffice_Excel_w_125"/>
      <sheetName val="[내역.XLS]A__MSOffice_Excel_w_131"/>
      <sheetName val="[내역.XLS]A__MSOffice_Excel_w_126"/>
      <sheetName val="[내역.XLS]A__MSOffice_Excel_w_127"/>
      <sheetName val="[내역.XLS]A__MSOffice_Excel_w_129"/>
      <sheetName val="[내역.XLS]A__MSOffice_Excel_w_128"/>
      <sheetName val="당진1,2호기전선관설치및접지4차공사내역서-을지"/>
      <sheetName val="[내역.XLS]A__MSOffice_Excel_w_130"/>
      <sheetName val="변압기용량"/>
      <sheetName val="전압조건"/>
      <sheetName val="전압(성남)"/>
      <sheetName val="부하조건"/>
      <sheetName val="LOPCALC"/>
      <sheetName val="부하_성남_"/>
      <sheetName val="원가도공 (3)"/>
      <sheetName val="원가도공 (2)"/>
      <sheetName val="수배전원가"/>
      <sheetName val="수배전반"/>
      <sheetName val="수배전단가"/>
      <sheetName val="등기구내역"/>
      <sheetName val="발전기집계"/>
      <sheetName val="분전반일위대가"/>
      <sheetName val="일위대가 "/>
      <sheetName val="인공산출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인허가수행 Schedule"/>
      <sheetName val="공통(20-91)"/>
      <sheetName val="부하LOAD"/>
      <sheetName val="가설건물"/>
      <sheetName val="외천교"/>
      <sheetName val="조도계산서 (도서)"/>
      <sheetName val="토목변경"/>
      <sheetName val="관리사무소"/>
      <sheetName val="한강운반비"/>
      <sheetName val="설계예산서"/>
      <sheetName val="조명율표"/>
      <sheetName val="적용단위길이"/>
      <sheetName val="1"/>
      <sheetName val="7.1유효폭"/>
      <sheetName val="SUNGNAM1"/>
      <sheetName val="전기실및집수정"/>
      <sheetName val="여흥"/>
      <sheetName val="단가정보"/>
      <sheetName val="INPUT DATA"/>
      <sheetName val="CSTSUM"/>
      <sheetName val="금긋기 및 절단"/>
      <sheetName val="자재테이블"/>
      <sheetName val="기타유틸리티설비"/>
      <sheetName val="토공및부대2차"/>
      <sheetName val="결선list"/>
      <sheetName val="TRE TABLE"/>
      <sheetName val="BQ"/>
      <sheetName val="L_RPTA05_목록"/>
      <sheetName val="L-type"/>
      <sheetName val="단가대비표 (3)"/>
      <sheetName val="전력구구조물산근"/>
      <sheetName val="소요자재"/>
      <sheetName val="cost"/>
      <sheetName val="발신정보"/>
      <sheetName val="일위대가내역"/>
      <sheetName val="오산갈곳"/>
      <sheetName val="품셈기준"/>
      <sheetName val="ITEM"/>
      <sheetName val="96작생능"/>
      <sheetName val="MEXICO-C"/>
      <sheetName val="c_balju"/>
      <sheetName val="중기사용료"/>
      <sheetName val="1공구(을)"/>
      <sheetName val="품목납기"/>
      <sheetName val="001"/>
      <sheetName val="주간기성"/>
      <sheetName val="적용토목"/>
      <sheetName val="공정표"/>
      <sheetName val="공사원가계산서"/>
      <sheetName val="단중표"/>
      <sheetName val="Import"/>
      <sheetName val="횡배수관단위수량"/>
      <sheetName val="맨홀토공수량"/>
      <sheetName val="수질정화시설"/>
      <sheetName val="품의서"/>
      <sheetName val="환율"/>
      <sheetName val="제잡비계산"/>
      <sheetName val="시설물총괄"/>
      <sheetName val="건축총괄"/>
      <sheetName val="식재"/>
      <sheetName val="타공종이기"/>
      <sheetName val="첨부"/>
      <sheetName val="GTG TR PIT"/>
      <sheetName val="조도계산서 _도서_"/>
      <sheetName val="CalcuSheet"/>
      <sheetName val="조명율데이타"/>
      <sheetName val="CRF"/>
      <sheetName val="현장지지물물량"/>
      <sheetName val="예정공정표"/>
      <sheetName val="총계"/>
      <sheetName val="발전기계산서"/>
      <sheetName val="guard(mac)"/>
      <sheetName val="입력DATA"/>
      <sheetName val="Proposal"/>
      <sheetName val="견적시담(송포2공구)"/>
      <sheetName val="FEXS"/>
      <sheetName val="환율-LIBOR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단가대비표_(3)"/>
      <sheetName val="산#2-1_(2)"/>
      <sheetName val="횡배위치"/>
      <sheetName val="ilch"/>
      <sheetName val="추가및 공제(방파제)"/>
      <sheetName val="다이꾸"/>
      <sheetName val="방배동내역(리라)"/>
      <sheetName val="49단가"/>
      <sheetName val="TABLE"/>
      <sheetName val="양식"/>
      <sheetName val="보차도경계석"/>
      <sheetName val="실행품의서"/>
      <sheetName val="주식"/>
      <sheetName val="EQUIP LIST"/>
      <sheetName val="목록"/>
      <sheetName val="mesc"/>
      <sheetName val="cable-data"/>
      <sheetName val="기초대가"/>
      <sheetName val="D-3503"/>
      <sheetName val="CNC810M"/>
      <sheetName val="지진시"/>
      <sheetName val="HRSG SMALL07220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INPUT_DATA"/>
      <sheetName val="TRE_TABLE"/>
      <sheetName val="금긋기_및_절단"/>
      <sheetName val="GTG_TR_PIT"/>
      <sheetName val="조도계산서__도서_"/>
      <sheetName val="Param"/>
      <sheetName val="기성집계"/>
      <sheetName val="W-현원가"/>
      <sheetName val="1.우편집중내역서"/>
      <sheetName val="배수관공"/>
      <sheetName val="프랜트면허"/>
      <sheetName val="현황산출서"/>
      <sheetName val="분뇨"/>
      <sheetName val="배관BM(일반)"/>
      <sheetName val="효율&amp;역율"/>
      <sheetName val="BEND LOSS"/>
      <sheetName val="방음벽기초(H=4m)"/>
      <sheetName val="변화치수"/>
      <sheetName val="철거산출근거"/>
      <sheetName val="자단"/>
      <sheetName val="SRC-B3U2"/>
      <sheetName val="토목주소"/>
      <sheetName val="123"/>
      <sheetName val="Oper Amount"/>
      <sheetName val="당초"/>
      <sheetName val="일위대가(원본)"/>
      <sheetName val="CALCULATION"/>
      <sheetName val="도"/>
      <sheetName val="1차변경내역"/>
      <sheetName val="관급턠ʦ"/>
      <sheetName val="관급턠˧"/>
      <sheetName val="설계단®"/>
      <sheetName val="석탄2_x0000__x0000_Ԁ_x0000_"/>
      <sheetName val="중기(목록)"/>
      <sheetName val="1SGATE97"/>
      <sheetName val="가颌亸"/>
      <sheetName val="시설물기초"/>
      <sheetName val="OCT.FDN"/>
      <sheetName val="WIND"/>
      <sheetName val="SEISMIC"/>
      <sheetName val="SIZE"/>
      <sheetName val="EXT.CHECK"/>
      <sheetName val="A.B CHECK"/>
      <sheetName val="STR.ANA"/>
      <sheetName val="DESIGN"/>
      <sheetName val="REINF."/>
      <sheetName val="L &amp; K"/>
      <sheetName val="Module1"/>
      <sheetName val="Module2"/>
      <sheetName val="OCT_FDN"/>
      <sheetName val="calcul"/>
      <sheetName val="sheet"/>
      <sheetName val="2.설계제원"/>
      <sheetName val="160-TV-301"/>
      <sheetName val="HORI. VESSEL"/>
      <sheetName val="Equipment"/>
      <sheetName val="PRO_DCI"/>
      <sheetName val="INST_DCI"/>
      <sheetName val="HVAC_DCI"/>
      <sheetName val="PIPE_DCI"/>
      <sheetName val="Regenerator  Concrete Structure"/>
      <sheetName val="별표총괄"/>
      <sheetName val="접속슬래브"/>
      <sheetName val="SKETCH"/>
      <sheetName val="LOADS"/>
      <sheetName val="PROCURE"/>
      <sheetName val="CAL."/>
      <sheetName val="C"/>
      <sheetName val="ind"/>
      <sheetName val="w't table"/>
      <sheetName val="Proj Cost Sumry"/>
      <sheetName val="산근"/>
      <sheetName val="LEGEND"/>
      <sheetName val="IT-BAT"/>
      <sheetName val="뜃맟뭁돽띿맟?-BLDG"/>
      <sheetName val="BREAKDOWN(철거설치)"/>
      <sheetName val="ANX3A65"/>
      <sheetName val="cable"/>
      <sheetName val="lookup"/>
      <sheetName val="UBC(WIND)"/>
      <sheetName val="out_prog"/>
      <sheetName val="선적schedule (2)"/>
      <sheetName val="C-18"/>
      <sheetName val="COA-17"/>
      <sheetName val="mhrrate"/>
      <sheetName val=" Sum"/>
      <sheetName val="일위대가표(DEEP)"/>
      <sheetName val="QT_Ky_T11"/>
      <sheetName val="4)유동표"/>
      <sheetName val="연장조서"/>
      <sheetName val="집계표(육_x0000__x0000_"/>
      <sheetName val="토적계산서"/>
      <sheetName val="내역서(전체)(횡)"/>
      <sheetName val="thao-go"/>
      <sheetName val="잔여세부내역"/>
      <sheetName val="지장물_x0000__x0000_堀"/>
      <sheetName val="단가조_x0000_"/>
      <sheetName val="입력0_x0000_"/>
      <sheetName val="신_x0000__x0000__x0000_"/>
      <sheetName val="신_x0000_씀"/>
      <sheetName val="신_x0000__x0011_"/>
      <sheetName val="신_x0000_甀_x000d_"/>
      <sheetName val="신_x0000_＀2"/>
      <sheetName val="J형측구단위수량"/>
      <sheetName val="화재 탐지 설비"/>
      <sheetName val="포장물량집°"/>
      <sheetName val="제경_x0000_"/>
      <sheetName val="적용단가"/>
      <sheetName val="모니터링"/>
      <sheetName val="건축집계표이수"/>
      <sheetName val="건축집계합계"/>
      <sheetName val="당정동경상이수"/>
      <sheetName val="당정동공통이수"/>
      <sheetName val="입찰결과보고"/>
      <sheetName val="경영혁신본부"/>
      <sheetName val="운E"/>
      <sheetName val="DESIGN CRITERIA"/>
      <sheetName val="전선관"/>
      <sheetName val="조ﱍ"/>
      <sheetName val="strutႼ_x0000_쀀⫿쌄"/>
      <sheetName val="49Ø_x0000_"/>
      <sheetName val="단위세대물량"/>
      <sheetName val="현장관리비"/>
      <sheetName val="총집계2"/>
      <sheetName val="변경내역서 (1단)산정회관"/>
      <sheetName val="치수표"/>
      <sheetName val="단면"/>
      <sheetName val="[내역.XLS]A__MSOffice_Excel_w_146"/>
      <sheetName val="[내역.XLS]A__MSOffice_Excel_w_132"/>
      <sheetName val="[내역.XLS]A__MSOffice_Excel_w_144"/>
      <sheetName val="[내역.XLS]A__MSOffice_Excel_w_135"/>
      <sheetName val="[내역.XLS]A__MSOffice_Excel_w_133"/>
      <sheetName val="[내역.XLS]A__MSOffice_Excel_w_134"/>
      <sheetName val="[내역.XLS]A__MSOffice_Excel_w_136"/>
      <sheetName val="[내역.XLS]A__MSOffice_Excel_w_137"/>
      <sheetName val="[내역.XLS]A__MSOffice_Excel_w_138"/>
      <sheetName val="[내역.XLS]A__MSOffice_Excel_w_143"/>
      <sheetName val="[내역.XLS]A__MSOffice_Excel_w_139"/>
      <sheetName val="[내역.XLS]A__MSOffice_Excel_w_141"/>
      <sheetName val="[내역.XLS]A__MSOffice_Excel_w_140"/>
      <sheetName val="[내역.XLS]A__MSOffice_Excel_w_142"/>
      <sheetName val="[내역.XLS]A__MSOffice_Excel_w_145"/>
      <sheetName val="[내역.XLS]A__MSOffice_Excel_w_148"/>
      <sheetName val="[내역.XLS]A__MSOffice_Excel_w_147"/>
      <sheetName val="[내역.XLS]A__MSOffice_Excel_w_183"/>
      <sheetName val="[내역.XLS]A__MSOffice_Excel_w_150"/>
      <sheetName val="[내역.XLS]A__MSOffice_Excel_w_149"/>
      <sheetName val="[내역.XLS]A__MSOffice_Excel_w_154"/>
      <sheetName val="[내역.XLS]A__MSOffice_Excel_w_151"/>
      <sheetName val="[내역.XLS]A__MSOffice_Excel_w_152"/>
      <sheetName val="[내역.XLS]A__MSOffice_Excel_w_153"/>
      <sheetName val="[내역.XLS]A__MSOffice_Excel_w_156"/>
      <sheetName val="[내역.XLS]A__MSOffice_Excel_w_155"/>
      <sheetName val="[내역.XLS]A__MSOffice_Excel_w_158"/>
      <sheetName val="[내역.XLS]A__MSOffice_Excel_w_157"/>
      <sheetName val="[내역.XLS]A__MSOffice_Excel_w_159"/>
      <sheetName val="[내역.XLS]A__MSOffice_Excel_w_160"/>
      <sheetName val="[내역.XLS]A__MSOffice_Excel_w_161"/>
      <sheetName val="[내역.XLS]A__MSOffice_Excel_w_162"/>
      <sheetName val="[내역.XLS]A__MSOffice_Excel_w_163"/>
      <sheetName val="[내역.XLS]A__MSOffice_Excel_w_165"/>
      <sheetName val="[내역.XLS]A__MSOffice_Excel_w_164"/>
      <sheetName val="[내역.XLS]A__MSOffice_Excel_w_166"/>
      <sheetName val="[내역.XLS]A__MSOffice_Excel_w_173"/>
      <sheetName val="[내역.XLS]A__MSOffice_Excel_w_169"/>
      <sheetName val="[내역.XLS]A__MSOffice_Excel_w_167"/>
      <sheetName val="[내역.XLS]A__MSOffice_Excel_w_168"/>
      <sheetName val="[내역.XLS]A__MSOffice_Excel_w_171"/>
      <sheetName val="[내역.XLS]A__MSOffice_Excel_w_170"/>
      <sheetName val="[내역.XLS]A__MSOffice_Excel_w_172"/>
      <sheetName val="[내역.XLS]A__MSOffice_Excel_w_174"/>
      <sheetName val="[내역.XLS]A__MSOffice_Excel_w_175"/>
      <sheetName val="[내역.XLS]A__MSOffice_Excel_w_176"/>
      <sheetName val="[내역.XLS]A__MSOffice_Excel_w_177"/>
      <sheetName val="[내역.XLS]A__MSOffice_Excel_w_181"/>
      <sheetName val="[내역.XLS]A__MSOffice_Excel_w_178"/>
      <sheetName val="[내역.XLS]A__MSOffice_Excel_w_179"/>
      <sheetName val="[내역.XLS]A__MSOffice_Excel_w_180"/>
      <sheetName val="[내역.XLS]A__MSOffice_Excel_w_182"/>
      <sheetName val="[내역.XLS]A__MSOffice_Excel_w_185"/>
      <sheetName val="[내역.XLS]A__MSOffice_Excel_w_184"/>
      <sheetName val="아파트 기성내역서"/>
      <sheetName val="[내역.XLS]A__MSOffice_Excel_w_188"/>
      <sheetName val="[내역.XLS]A__MSOffice_Excel_w_186"/>
      <sheetName val="[내역.XLS]A__MSOffice_Excel_w_187"/>
      <sheetName val="토공수량집계"/>
      <sheetName val="1. 설계조건 2.단면가정 3. 하중계산"/>
      <sheetName val="DATA 입력란"/>
      <sheetName val="부대공사총괄"/>
      <sheetName val="건축공사집계표"/>
      <sheetName val="현장경비"/>
      <sheetName val="방배동내역 (총괄)"/>
      <sheetName val="아스팔트 포장총괄집계표"/>
      <sheetName val="정리내역"/>
      <sheetName val="맨홀펌프장 수량집계표(Φ1500)"/>
      <sheetName val="운刎"/>
      <sheetName val="운"/>
      <sheetName val="부표_x0014_䠀"/>
      <sheetName val="전체도_x0000_"/>
      <sheetName val="단가결정"/>
      <sheetName val="집수정"/>
      <sheetName val="4월가격"/>
      <sheetName val="TOWER 12T_x0000__x0000_"/>
      <sheetName val="역T형"/>
      <sheetName val="운반산_x0000_"/>
      <sheetName val="토목검측서"/>
      <sheetName val="[내역.XLS]A__MSOffice_Excel_w_189"/>
      <sheetName val="[내역.XLS]A__MSOffice_Excel_w_190"/>
      <sheetName val="[내역.XLS][내역.XLS]석탄2쎕々/_x0000_"/>
      <sheetName val="[내역.XLS][내역.XLS][내역.XLS]석탄2쎕々/_x0000_"/>
      <sheetName val="[내역.XLS]A__MSOffice_Excel_w_192"/>
      <sheetName val="[내역.XLS]A__MSOffice_Excel_w_191"/>
      <sheetName val="공예을"/>
      <sheetName val="[내역.XLS]A__MSOffice_Excel_w_208"/>
      <sheetName val=" 상부공통집계(총괄)"/>
      <sheetName val="유림콘도"/>
      <sheetName val="[내역.XLS]A__MSOffice_Excel_w_205"/>
      <sheetName val="[내역.XLS]A__MSOffice_Excel_w_193"/>
      <sheetName val="[내역.XLS]A__MSOffice_Excel_w_194"/>
      <sheetName val="[내역.XLS]A__MSOffice_Excel_w_195"/>
      <sheetName val="[내역.XLS]A__MSOffice_Excel_w_196"/>
      <sheetName val="[내역.XLS]A__MSOffice_Excel_w_200"/>
      <sheetName val="[내역.XLS]A__MSOffice_Excel_w_199"/>
      <sheetName val="[내역.XLS]A__MSOffice_Excel_w_198"/>
      <sheetName val="[내역.XLS]A__MSOffice_Excel_w_197"/>
      <sheetName val="[내역.XLS]A__MSOffice_Excel_w_202"/>
      <sheetName val="[내역.XLS]A__MSOffice_Excel_w_201"/>
      <sheetName val="[내역.XLS]A__MSOffice_Excel_w_203"/>
      <sheetName val="[내역.XLS]A__MSOffice_Excel_w_204"/>
      <sheetName val="[내역.XLS]A__MSOffice_Excel_w_206"/>
      <sheetName val="[내역.XLS]A__MSOffice_Excel_w_207"/>
      <sheetName val="VT,NC,M"/>
      <sheetName val="가⣐鳋"/>
      <sheetName val="굴화내_x0000_"/>
      <sheetName val="설계단넼"/>
      <sheetName val="3.공통공사[_x0000_"/>
      <sheetName val="공사비 내역 (가)"/>
      <sheetName val="이설도로유용_x0000_"/>
      <sheetName val="가도q"/>
      <sheetName val="신_x0000_蜀$"/>
      <sheetName val="신_x0000_焀/"/>
      <sheetName val="신_x0000_䘀"/>
      <sheetName val="신_x0000_!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/>
      <sheetData sheetId="214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>
        <row r="1">
          <cell r="C1" t="str">
            <v>F_CODE</v>
          </cell>
        </row>
      </sheetData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>
        <row r="1">
          <cell r="C1" t="str">
            <v>F_CODE</v>
          </cell>
        </row>
      </sheetData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>
        <row r="1">
          <cell r="C1" t="str">
            <v>F_CODE</v>
          </cell>
        </row>
      </sheetData>
      <sheetData sheetId="1068">
        <row r="1">
          <cell r="C1" t="str">
            <v>F_CODE</v>
          </cell>
        </row>
      </sheetData>
      <sheetData sheetId="1069"/>
      <sheetData sheetId="1070"/>
      <sheetData sheetId="1071"/>
      <sheetData sheetId="1072">
        <row r="1">
          <cell r="C1" t="str">
            <v>F_CODE</v>
          </cell>
        </row>
      </sheetData>
      <sheetData sheetId="1073">
        <row r="1">
          <cell r="C1" t="str">
            <v>F_CODE</v>
          </cell>
        </row>
      </sheetData>
      <sheetData sheetId="1074">
        <row r="1">
          <cell r="C1" t="str">
            <v>F_CODE</v>
          </cell>
        </row>
      </sheetData>
      <sheetData sheetId="1075">
        <row r="1">
          <cell r="C1" t="str">
            <v>F_CODE</v>
          </cell>
        </row>
      </sheetData>
      <sheetData sheetId="1076">
        <row r="1">
          <cell r="C1" t="str">
            <v>F_CODE</v>
          </cell>
        </row>
      </sheetData>
      <sheetData sheetId="1077">
        <row r="1">
          <cell r="C1" t="str">
            <v>F_CODE</v>
          </cell>
        </row>
      </sheetData>
      <sheetData sheetId="1078"/>
      <sheetData sheetId="1079"/>
      <sheetData sheetId="1080"/>
      <sheetData sheetId="1081"/>
      <sheetData sheetId="1082">
        <row r="1">
          <cell r="C1" t="str">
            <v>F_CODE</v>
          </cell>
        </row>
      </sheetData>
      <sheetData sheetId="1083">
        <row r="1">
          <cell r="C1" t="str">
            <v>F_CODE</v>
          </cell>
        </row>
      </sheetData>
      <sheetData sheetId="1084"/>
      <sheetData sheetId="1085">
        <row r="1">
          <cell r="C1" t="str">
            <v>F_CODE</v>
          </cell>
        </row>
      </sheetData>
      <sheetData sheetId="1086">
        <row r="1">
          <cell r="C1" t="str">
            <v>F_CODE</v>
          </cell>
        </row>
      </sheetData>
      <sheetData sheetId="1087"/>
      <sheetData sheetId="1088">
        <row r="1">
          <cell r="C1" t="str">
            <v>F_CODE</v>
          </cell>
        </row>
      </sheetData>
      <sheetData sheetId="1089"/>
      <sheetData sheetId="1090">
        <row r="1">
          <cell r="C1" t="str">
            <v>F_CODE</v>
          </cell>
        </row>
      </sheetData>
      <sheetData sheetId="1091">
        <row r="1">
          <cell r="C1" t="str">
            <v>F_CODE</v>
          </cell>
        </row>
      </sheetData>
      <sheetData sheetId="1092">
        <row r="1">
          <cell r="C1" t="str">
            <v>F_CODE</v>
          </cell>
        </row>
      </sheetData>
      <sheetData sheetId="1093">
        <row r="1">
          <cell r="C1" t="str">
            <v>F_CODE</v>
          </cell>
        </row>
      </sheetData>
      <sheetData sheetId="1094"/>
      <sheetData sheetId="1095">
        <row r="1">
          <cell r="C1" t="str">
            <v>F_CODE</v>
          </cell>
        </row>
      </sheetData>
      <sheetData sheetId="1096"/>
      <sheetData sheetId="1097"/>
      <sheetData sheetId="1098"/>
      <sheetData sheetId="1099"/>
      <sheetData sheetId="1100">
        <row r="1">
          <cell r="C1" t="str">
            <v>F_CODE</v>
          </cell>
        </row>
      </sheetData>
      <sheetData sheetId="1101">
        <row r="1">
          <cell r="C1" t="str">
            <v>F_CODE</v>
          </cell>
        </row>
      </sheetData>
      <sheetData sheetId="1102"/>
      <sheetData sheetId="1103"/>
      <sheetData sheetId="1104"/>
      <sheetData sheetId="1105">
        <row r="1">
          <cell r="C1" t="str">
            <v>F_CODE</v>
          </cell>
        </row>
      </sheetData>
      <sheetData sheetId="1106">
        <row r="1">
          <cell r="C1" t="str">
            <v>F_CODE</v>
          </cell>
        </row>
      </sheetData>
      <sheetData sheetId="1107"/>
      <sheetData sheetId="1108"/>
      <sheetData sheetId="1109">
        <row r="1">
          <cell r="C1" t="str">
            <v>F_CODE</v>
          </cell>
        </row>
      </sheetData>
      <sheetData sheetId="1110">
        <row r="1">
          <cell r="C1" t="str">
            <v>F_CODE</v>
          </cell>
        </row>
      </sheetData>
      <sheetData sheetId="1111">
        <row r="1">
          <cell r="C1" t="str">
            <v>F_CODE</v>
          </cell>
        </row>
      </sheetData>
      <sheetData sheetId="1112">
        <row r="1">
          <cell r="C1" t="str">
            <v>F_CODE</v>
          </cell>
        </row>
      </sheetData>
      <sheetData sheetId="1113">
        <row r="1">
          <cell r="C1" t="str">
            <v>F_CODE</v>
          </cell>
        </row>
      </sheetData>
      <sheetData sheetId="1114">
        <row r="1">
          <cell r="C1" t="str">
            <v>F_CODE</v>
          </cell>
        </row>
      </sheetData>
      <sheetData sheetId="1115">
        <row r="1">
          <cell r="C1" t="str">
            <v>F_CODE</v>
          </cell>
        </row>
      </sheetData>
      <sheetData sheetId="1116">
        <row r="1">
          <cell r="C1" t="str">
            <v>F_CODE</v>
          </cell>
        </row>
      </sheetData>
      <sheetData sheetId="1117">
        <row r="1">
          <cell r="C1" t="str">
            <v>F_CODE</v>
          </cell>
        </row>
      </sheetData>
      <sheetData sheetId="1118">
        <row r="1">
          <cell r="C1" t="str">
            <v>F_CODE</v>
          </cell>
        </row>
      </sheetData>
      <sheetData sheetId="1119">
        <row r="1">
          <cell r="C1" t="str">
            <v>F_CODE</v>
          </cell>
        </row>
      </sheetData>
      <sheetData sheetId="1120">
        <row r="1">
          <cell r="C1" t="str">
            <v>F_CODE</v>
          </cell>
        </row>
      </sheetData>
      <sheetData sheetId="1121">
        <row r="1">
          <cell r="C1" t="str">
            <v>F_CODE</v>
          </cell>
        </row>
      </sheetData>
      <sheetData sheetId="1122">
        <row r="1">
          <cell r="C1" t="str">
            <v>F_CODE</v>
          </cell>
        </row>
      </sheetData>
      <sheetData sheetId="1123">
        <row r="1">
          <cell r="C1" t="str">
            <v>F_CODE</v>
          </cell>
        </row>
      </sheetData>
      <sheetData sheetId="1124">
        <row r="1">
          <cell r="C1" t="str">
            <v>F_CODE</v>
          </cell>
        </row>
      </sheetData>
      <sheetData sheetId="1125">
        <row r="1">
          <cell r="C1" t="str">
            <v>F_CODE</v>
          </cell>
        </row>
      </sheetData>
      <sheetData sheetId="1126">
        <row r="1">
          <cell r="C1" t="str">
            <v>F_CODE</v>
          </cell>
        </row>
      </sheetData>
      <sheetData sheetId="1127">
        <row r="1">
          <cell r="C1" t="str">
            <v>F_CODE</v>
          </cell>
        </row>
      </sheetData>
      <sheetData sheetId="1128">
        <row r="1">
          <cell r="C1" t="str">
            <v>F_CODE</v>
          </cell>
        </row>
      </sheetData>
      <sheetData sheetId="1129">
        <row r="1">
          <cell r="C1" t="str">
            <v>F_CODE</v>
          </cell>
        </row>
      </sheetData>
      <sheetData sheetId="1130">
        <row r="1">
          <cell r="C1" t="str">
            <v>F_CODE</v>
          </cell>
        </row>
      </sheetData>
      <sheetData sheetId="1131">
        <row r="1">
          <cell r="C1" t="str">
            <v>F_CODE</v>
          </cell>
        </row>
      </sheetData>
      <sheetData sheetId="1132">
        <row r="1">
          <cell r="C1" t="str">
            <v>F_CODE</v>
          </cell>
        </row>
      </sheetData>
      <sheetData sheetId="1133">
        <row r="1">
          <cell r="C1" t="str">
            <v>F_CODE</v>
          </cell>
        </row>
      </sheetData>
      <sheetData sheetId="1134">
        <row r="1">
          <cell r="C1" t="str">
            <v>F_CODE</v>
          </cell>
        </row>
      </sheetData>
      <sheetData sheetId="1135">
        <row r="1">
          <cell r="C1" t="str">
            <v>F_CODE</v>
          </cell>
        </row>
      </sheetData>
      <sheetData sheetId="1136">
        <row r="1">
          <cell r="C1" t="str">
            <v>F_CODE</v>
          </cell>
        </row>
      </sheetData>
      <sheetData sheetId="1137">
        <row r="1">
          <cell r="C1" t="str">
            <v>F_CODE</v>
          </cell>
        </row>
      </sheetData>
      <sheetData sheetId="1138">
        <row r="1">
          <cell r="C1" t="str">
            <v>F_CODE</v>
          </cell>
        </row>
      </sheetData>
      <sheetData sheetId="1139">
        <row r="1">
          <cell r="C1" t="str">
            <v>F_CODE</v>
          </cell>
        </row>
      </sheetData>
      <sheetData sheetId="1140">
        <row r="1">
          <cell r="C1" t="str">
            <v>F_CODE</v>
          </cell>
        </row>
      </sheetData>
      <sheetData sheetId="1141">
        <row r="1">
          <cell r="C1" t="str">
            <v>F_CODE</v>
          </cell>
        </row>
      </sheetData>
      <sheetData sheetId="1142">
        <row r="1">
          <cell r="C1" t="str">
            <v>F_CODE</v>
          </cell>
        </row>
      </sheetData>
      <sheetData sheetId="1143">
        <row r="1">
          <cell r="C1" t="str">
            <v>F_CODE</v>
          </cell>
        </row>
      </sheetData>
      <sheetData sheetId="1144">
        <row r="1">
          <cell r="C1" t="str">
            <v>F_CODE</v>
          </cell>
        </row>
      </sheetData>
      <sheetData sheetId="1145">
        <row r="1">
          <cell r="C1" t="str">
            <v>F_CODE</v>
          </cell>
        </row>
      </sheetData>
      <sheetData sheetId="1146">
        <row r="1">
          <cell r="C1" t="str">
            <v>F_CODE</v>
          </cell>
        </row>
      </sheetData>
      <sheetData sheetId="1147">
        <row r="1">
          <cell r="C1" t="str">
            <v>F_CODE</v>
          </cell>
        </row>
      </sheetData>
      <sheetData sheetId="1148"/>
      <sheetData sheetId="1149">
        <row r="1">
          <cell r="C1" t="str">
            <v>F_CODE</v>
          </cell>
        </row>
      </sheetData>
      <sheetData sheetId="1150">
        <row r="1">
          <cell r="C1" t="str">
            <v>F_CODE</v>
          </cell>
        </row>
      </sheetData>
      <sheetData sheetId="1151">
        <row r="1">
          <cell r="C1" t="str">
            <v>F_CODE</v>
          </cell>
        </row>
      </sheetData>
      <sheetData sheetId="1152">
        <row r="1">
          <cell r="C1" t="str">
            <v>F_CODE</v>
          </cell>
        </row>
      </sheetData>
      <sheetData sheetId="1153">
        <row r="1">
          <cell r="C1" t="str">
            <v>F_CODE</v>
          </cell>
        </row>
      </sheetData>
      <sheetData sheetId="1154">
        <row r="1">
          <cell r="C1" t="str">
            <v>F_CODE</v>
          </cell>
        </row>
      </sheetData>
      <sheetData sheetId="1155">
        <row r="1">
          <cell r="C1" t="str">
            <v>F_CODE</v>
          </cell>
        </row>
      </sheetData>
      <sheetData sheetId="1156">
        <row r="1">
          <cell r="C1" t="str">
            <v>F_CODE</v>
          </cell>
        </row>
      </sheetData>
      <sheetData sheetId="1157">
        <row r="1">
          <cell r="C1" t="str">
            <v>F_CODE</v>
          </cell>
        </row>
      </sheetData>
      <sheetData sheetId="1158"/>
      <sheetData sheetId="1159">
        <row r="1">
          <cell r="C1" t="str">
            <v>F_CODE</v>
          </cell>
        </row>
      </sheetData>
      <sheetData sheetId="1160">
        <row r="1">
          <cell r="C1" t="str">
            <v>F_CODE</v>
          </cell>
        </row>
      </sheetData>
      <sheetData sheetId="1161">
        <row r="1">
          <cell r="C1" t="str">
            <v>F_CODE</v>
          </cell>
        </row>
      </sheetData>
      <sheetData sheetId="1162">
        <row r="1">
          <cell r="C1" t="str">
            <v>F_CODE</v>
          </cell>
        </row>
      </sheetData>
      <sheetData sheetId="1163">
        <row r="1">
          <cell r="C1" t="str">
            <v>F_CODE</v>
          </cell>
        </row>
      </sheetData>
      <sheetData sheetId="1164">
        <row r="1">
          <cell r="C1" t="str">
            <v>F_CODE</v>
          </cell>
        </row>
      </sheetData>
      <sheetData sheetId="1165">
        <row r="1">
          <cell r="C1" t="str">
            <v>F_CODE</v>
          </cell>
        </row>
      </sheetData>
      <sheetData sheetId="1166">
        <row r="1">
          <cell r="C1" t="str">
            <v>F_CODE</v>
          </cell>
        </row>
      </sheetData>
      <sheetData sheetId="1167">
        <row r="1">
          <cell r="C1" t="str">
            <v>F_CODE</v>
          </cell>
        </row>
      </sheetData>
      <sheetData sheetId="1168">
        <row r="1">
          <cell r="C1" t="str">
            <v>F_CODE</v>
          </cell>
        </row>
      </sheetData>
      <sheetData sheetId="1169">
        <row r="1">
          <cell r="C1" t="str">
            <v>F_CODE</v>
          </cell>
        </row>
      </sheetData>
      <sheetData sheetId="1170">
        <row r="1">
          <cell r="C1" t="str">
            <v>F_CODE</v>
          </cell>
        </row>
      </sheetData>
      <sheetData sheetId="1171">
        <row r="1">
          <cell r="C1" t="str">
            <v>F_CODE</v>
          </cell>
        </row>
      </sheetData>
      <sheetData sheetId="1172">
        <row r="1">
          <cell r="C1" t="str">
            <v>F_CODE</v>
          </cell>
        </row>
      </sheetData>
      <sheetData sheetId="1173">
        <row r="1">
          <cell r="C1" t="str">
            <v>F_CODE</v>
          </cell>
        </row>
      </sheetData>
      <sheetData sheetId="1174">
        <row r="1">
          <cell r="C1" t="str">
            <v>F_CODE</v>
          </cell>
        </row>
      </sheetData>
      <sheetData sheetId="1175">
        <row r="1">
          <cell r="C1" t="str">
            <v>F_CODE</v>
          </cell>
        </row>
      </sheetData>
      <sheetData sheetId="1176">
        <row r="1">
          <cell r="C1" t="str">
            <v>F_CODE</v>
          </cell>
        </row>
      </sheetData>
      <sheetData sheetId="1177">
        <row r="1">
          <cell r="C1" t="str">
            <v>F_CODE</v>
          </cell>
        </row>
      </sheetData>
      <sheetData sheetId="1178">
        <row r="1">
          <cell r="C1" t="str">
            <v>F_CODE</v>
          </cell>
        </row>
      </sheetData>
      <sheetData sheetId="1179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>
        <row r="1">
          <cell r="C1" t="str">
            <v>F_CODE</v>
          </cell>
        </row>
      </sheetData>
      <sheetData sheetId="1357" refreshError="1"/>
      <sheetData sheetId="1358">
        <row r="1">
          <cell r="C1" t="str">
            <v>F_CODE</v>
          </cell>
        </row>
      </sheetData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>
        <row r="1">
          <cell r="C1" t="str">
            <v>F_CODE</v>
          </cell>
        </row>
      </sheetData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>
        <row r="1">
          <cell r="C1" t="str">
            <v>F_CODE</v>
          </cell>
        </row>
      </sheetData>
      <sheetData sheetId="1419">
        <row r="1">
          <cell r="C1" t="str">
            <v>F_CODE</v>
          </cell>
        </row>
      </sheetData>
      <sheetData sheetId="1420">
        <row r="1">
          <cell r="C1" t="str">
            <v>F_CODE</v>
          </cell>
        </row>
      </sheetData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>
        <row r="1">
          <cell r="C1" t="str">
            <v>F_CODE</v>
          </cell>
        </row>
      </sheetData>
      <sheetData sheetId="1431">
        <row r="1">
          <cell r="C1" t="str">
            <v>F_CODE</v>
          </cell>
        </row>
      </sheetData>
      <sheetData sheetId="1432">
        <row r="1">
          <cell r="C1" t="str">
            <v>F_CODE</v>
          </cell>
        </row>
      </sheetData>
      <sheetData sheetId="1433">
        <row r="1">
          <cell r="C1" t="str">
            <v>F_CODE</v>
          </cell>
        </row>
      </sheetData>
      <sheetData sheetId="1434">
        <row r="1">
          <cell r="C1" t="str">
            <v>F_CODE</v>
          </cell>
        </row>
      </sheetData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>
        <row r="1">
          <cell r="C1" t="str">
            <v>F_CODE</v>
          </cell>
        </row>
      </sheetData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>
        <row r="1">
          <cell r="C1" t="str">
            <v>F_CODE</v>
          </cell>
        </row>
      </sheetData>
      <sheetData sheetId="1469">
        <row r="1">
          <cell r="C1" t="str">
            <v>F_CODE</v>
          </cell>
        </row>
      </sheetData>
      <sheetData sheetId="1470">
        <row r="1">
          <cell r="C1" t="str">
            <v>F_CODE</v>
          </cell>
        </row>
      </sheetData>
      <sheetData sheetId="1471">
        <row r="1">
          <cell r="C1" t="str">
            <v>F_CODE</v>
          </cell>
        </row>
      </sheetData>
      <sheetData sheetId="1472">
        <row r="1">
          <cell r="C1" t="str">
            <v>F_CODE</v>
          </cell>
        </row>
      </sheetData>
      <sheetData sheetId="1473">
        <row r="1">
          <cell r="C1" t="str">
            <v>F_CODE</v>
          </cell>
        </row>
      </sheetData>
      <sheetData sheetId="1474">
        <row r="1">
          <cell r="C1" t="str">
            <v>F_CODE</v>
          </cell>
        </row>
      </sheetData>
      <sheetData sheetId="1475">
        <row r="1">
          <cell r="C1" t="str">
            <v>F_CODE</v>
          </cell>
        </row>
      </sheetData>
      <sheetData sheetId="1476">
        <row r="1">
          <cell r="C1" t="str">
            <v>F_CODE</v>
          </cell>
        </row>
      </sheetData>
      <sheetData sheetId="1477">
        <row r="1">
          <cell r="C1" t="str">
            <v>F_CODE</v>
          </cell>
        </row>
      </sheetData>
      <sheetData sheetId="1478">
        <row r="1">
          <cell r="C1" t="str">
            <v>F_CODE</v>
          </cell>
        </row>
      </sheetData>
      <sheetData sheetId="1479">
        <row r="1">
          <cell r="C1" t="str">
            <v>F_CODE</v>
          </cell>
        </row>
      </sheetData>
      <sheetData sheetId="1480">
        <row r="1">
          <cell r="C1" t="str">
            <v>F_CODE</v>
          </cell>
        </row>
      </sheetData>
      <sheetData sheetId="1481">
        <row r="1">
          <cell r="C1" t="str">
            <v>F_CODE</v>
          </cell>
        </row>
      </sheetData>
      <sheetData sheetId="1482">
        <row r="1">
          <cell r="C1" t="str">
            <v>F_CODE</v>
          </cell>
        </row>
      </sheetData>
      <sheetData sheetId="1483">
        <row r="1">
          <cell r="C1" t="str">
            <v>F_CODE</v>
          </cell>
        </row>
      </sheetData>
      <sheetData sheetId="1484">
        <row r="1">
          <cell r="C1" t="str">
            <v>F_CODE</v>
          </cell>
        </row>
      </sheetData>
      <sheetData sheetId="1485">
        <row r="1">
          <cell r="C1" t="str">
            <v>F_CODE</v>
          </cell>
        </row>
      </sheetData>
      <sheetData sheetId="1486">
        <row r="1">
          <cell r="C1" t="str">
            <v>F_CODE</v>
          </cell>
        </row>
      </sheetData>
      <sheetData sheetId="1487">
        <row r="1">
          <cell r="C1" t="str">
            <v>F_CODE</v>
          </cell>
        </row>
      </sheetData>
      <sheetData sheetId="1488">
        <row r="1">
          <cell r="C1" t="str">
            <v>F_CODE</v>
          </cell>
        </row>
      </sheetData>
      <sheetData sheetId="1489">
        <row r="1">
          <cell r="C1" t="str">
            <v>F_CODE</v>
          </cell>
        </row>
      </sheetData>
      <sheetData sheetId="1490">
        <row r="1">
          <cell r="C1" t="str">
            <v>F_CODE</v>
          </cell>
        </row>
      </sheetData>
      <sheetData sheetId="1491">
        <row r="1">
          <cell r="C1" t="str">
            <v>F_CODE</v>
          </cell>
        </row>
      </sheetData>
      <sheetData sheetId="1492">
        <row r="1">
          <cell r="C1" t="str">
            <v>F_CODE</v>
          </cell>
        </row>
      </sheetData>
      <sheetData sheetId="1493">
        <row r="1">
          <cell r="C1" t="str">
            <v>F_CODE</v>
          </cell>
        </row>
      </sheetData>
      <sheetData sheetId="1494">
        <row r="1">
          <cell r="C1" t="str">
            <v>F_CODE</v>
          </cell>
        </row>
      </sheetData>
      <sheetData sheetId="1495">
        <row r="1">
          <cell r="C1" t="str">
            <v>F_CODE</v>
          </cell>
        </row>
      </sheetData>
      <sheetData sheetId="1496">
        <row r="1">
          <cell r="C1" t="str">
            <v>F_CODE</v>
          </cell>
        </row>
      </sheetData>
      <sheetData sheetId="1497">
        <row r="1">
          <cell r="C1" t="str">
            <v>F_CODE</v>
          </cell>
        </row>
      </sheetData>
      <sheetData sheetId="1498">
        <row r="1">
          <cell r="C1" t="str">
            <v>F_CODE</v>
          </cell>
        </row>
      </sheetData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>
        <row r="1">
          <cell r="C1" t="str">
            <v>F_CODE</v>
          </cell>
        </row>
      </sheetData>
      <sheetData sheetId="1590">
        <row r="1">
          <cell r="C1" t="str">
            <v>F_CODE</v>
          </cell>
        </row>
      </sheetData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>
        <row r="1">
          <cell r="C1" t="str">
            <v>F_CODE</v>
          </cell>
        </row>
      </sheetData>
      <sheetData sheetId="1603">
        <row r="1">
          <cell r="C1" t="str">
            <v>F_CODE</v>
          </cell>
        </row>
      </sheetData>
      <sheetData sheetId="1604">
        <row r="1">
          <cell r="C1" t="str">
            <v>F_CODE</v>
          </cell>
        </row>
      </sheetData>
      <sheetData sheetId="1605">
        <row r="1">
          <cell r="C1" t="str">
            <v>F_CODE</v>
          </cell>
        </row>
      </sheetData>
      <sheetData sheetId="1606">
        <row r="1">
          <cell r="C1" t="str">
            <v>F_CODE</v>
          </cell>
        </row>
      </sheetData>
      <sheetData sheetId="1607">
        <row r="1">
          <cell r="C1" t="str">
            <v>F_CODE</v>
          </cell>
        </row>
      </sheetData>
      <sheetData sheetId="1608">
        <row r="1">
          <cell r="C1" t="str">
            <v>F_CODE</v>
          </cell>
        </row>
      </sheetData>
      <sheetData sheetId="1609">
        <row r="1">
          <cell r="C1" t="str">
            <v>F_CODE</v>
          </cell>
        </row>
      </sheetData>
      <sheetData sheetId="1610">
        <row r="1">
          <cell r="C1" t="str">
            <v>F_CODE</v>
          </cell>
        </row>
      </sheetData>
      <sheetData sheetId="1611" refreshError="1"/>
      <sheetData sheetId="1612" refreshError="1"/>
      <sheetData sheetId="1613">
        <row r="1">
          <cell r="C1" t="str">
            <v>F_CODE</v>
          </cell>
        </row>
      </sheetData>
      <sheetData sheetId="1614" refreshError="1"/>
      <sheetData sheetId="1615">
        <row r="1">
          <cell r="C1" t="str">
            <v>F_CODE</v>
          </cell>
        </row>
      </sheetData>
      <sheetData sheetId="1616">
        <row r="1">
          <cell r="C1" t="str">
            <v>F_CODE</v>
          </cell>
        </row>
      </sheetData>
      <sheetData sheetId="1617">
        <row r="1">
          <cell r="C1" t="str">
            <v>F_CODE</v>
          </cell>
        </row>
      </sheetData>
      <sheetData sheetId="1618">
        <row r="1">
          <cell r="C1" t="str">
            <v>F_CODE</v>
          </cell>
        </row>
      </sheetData>
      <sheetData sheetId="1619">
        <row r="1">
          <cell r="C1" t="str">
            <v>F_CODE</v>
          </cell>
        </row>
      </sheetData>
      <sheetData sheetId="1620">
        <row r="1">
          <cell r="C1" t="str">
            <v>F_CODE</v>
          </cell>
        </row>
      </sheetData>
      <sheetData sheetId="1621">
        <row r="1">
          <cell r="C1" t="str">
            <v>F_CODE</v>
          </cell>
        </row>
      </sheetData>
      <sheetData sheetId="1622">
        <row r="1">
          <cell r="C1" t="str">
            <v>F_CODE</v>
          </cell>
        </row>
      </sheetData>
      <sheetData sheetId="1623">
        <row r="1">
          <cell r="C1" t="str">
            <v>F_CODE</v>
          </cell>
        </row>
      </sheetData>
      <sheetData sheetId="1624">
        <row r="1">
          <cell r="C1" t="str">
            <v>F_CODE</v>
          </cell>
        </row>
      </sheetData>
      <sheetData sheetId="1625">
        <row r="1">
          <cell r="C1" t="str">
            <v>F_CODE</v>
          </cell>
        </row>
      </sheetData>
      <sheetData sheetId="1626">
        <row r="1">
          <cell r="C1" t="str">
            <v>F_CODE</v>
          </cell>
        </row>
      </sheetData>
      <sheetData sheetId="1627">
        <row r="1">
          <cell r="C1" t="str">
            <v>F_CODE</v>
          </cell>
        </row>
      </sheetData>
      <sheetData sheetId="1628">
        <row r="1">
          <cell r="C1" t="str">
            <v>F_CODE</v>
          </cell>
        </row>
      </sheetData>
      <sheetData sheetId="1629">
        <row r="1">
          <cell r="C1" t="str">
            <v>F_CODE</v>
          </cell>
        </row>
      </sheetData>
      <sheetData sheetId="1630">
        <row r="1">
          <cell r="C1" t="str">
            <v>F_CODE</v>
          </cell>
        </row>
      </sheetData>
      <sheetData sheetId="1631">
        <row r="1">
          <cell r="C1" t="str">
            <v>F_CODE</v>
          </cell>
        </row>
      </sheetData>
      <sheetData sheetId="1632">
        <row r="1">
          <cell r="C1" t="str">
            <v>F_CODE</v>
          </cell>
        </row>
      </sheetData>
      <sheetData sheetId="1633">
        <row r="1">
          <cell r="C1" t="str">
            <v>F_CODE</v>
          </cell>
        </row>
      </sheetData>
      <sheetData sheetId="1634">
        <row r="1">
          <cell r="C1" t="str">
            <v>F_CODE</v>
          </cell>
        </row>
      </sheetData>
      <sheetData sheetId="1635">
        <row r="1">
          <cell r="C1" t="str">
            <v>F_CODE</v>
          </cell>
        </row>
      </sheetData>
      <sheetData sheetId="1636">
        <row r="1">
          <cell r="C1" t="str">
            <v>F_CODE</v>
          </cell>
        </row>
      </sheetData>
      <sheetData sheetId="1637">
        <row r="1">
          <cell r="C1" t="str">
            <v>F_CODE</v>
          </cell>
        </row>
      </sheetData>
      <sheetData sheetId="1638">
        <row r="1">
          <cell r="C1" t="str">
            <v>F_CODE</v>
          </cell>
        </row>
      </sheetData>
      <sheetData sheetId="1639">
        <row r="1">
          <cell r="C1" t="str">
            <v>F_CODE</v>
          </cell>
        </row>
      </sheetData>
      <sheetData sheetId="1640">
        <row r="1">
          <cell r="C1" t="str">
            <v>F_CODE</v>
          </cell>
        </row>
      </sheetData>
      <sheetData sheetId="1641">
        <row r="1">
          <cell r="C1" t="str">
            <v>F_CODE</v>
          </cell>
        </row>
      </sheetData>
      <sheetData sheetId="1642"/>
      <sheetData sheetId="1643"/>
      <sheetData sheetId="1644"/>
      <sheetData sheetId="1645"/>
      <sheetData sheetId="1646"/>
      <sheetData sheetId="1647" refreshError="1"/>
      <sheetData sheetId="1648"/>
      <sheetData sheetId="1649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>
        <row r="1">
          <cell r="C1" t="str">
            <v>F_CODE</v>
          </cell>
        </row>
      </sheetData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>
        <row r="1">
          <cell r="C1" t="str">
            <v>F_CODE</v>
          </cell>
        </row>
      </sheetData>
      <sheetData sheetId="1702">
        <row r="1">
          <cell r="C1" t="str">
            <v>F_CODE</v>
          </cell>
        </row>
      </sheetData>
      <sheetData sheetId="1703">
        <row r="1">
          <cell r="C1" t="str">
            <v>F_CODE</v>
          </cell>
        </row>
      </sheetData>
      <sheetData sheetId="1704">
        <row r="1">
          <cell r="C1" t="str">
            <v>F_CODE</v>
          </cell>
        </row>
      </sheetData>
      <sheetData sheetId="1705">
        <row r="1">
          <cell r="C1" t="str">
            <v>F_CODE</v>
          </cell>
        </row>
      </sheetData>
      <sheetData sheetId="1706">
        <row r="1">
          <cell r="C1" t="str">
            <v>F_CODE</v>
          </cell>
        </row>
      </sheetData>
      <sheetData sheetId="1707">
        <row r="1">
          <cell r="C1" t="str">
            <v>F_CODE</v>
          </cell>
        </row>
      </sheetData>
      <sheetData sheetId="1708">
        <row r="1">
          <cell r="C1" t="str">
            <v>F_CODE</v>
          </cell>
        </row>
      </sheetData>
      <sheetData sheetId="1709">
        <row r="1">
          <cell r="C1" t="str">
            <v>F_CODE</v>
          </cell>
        </row>
      </sheetData>
      <sheetData sheetId="1710">
        <row r="1">
          <cell r="C1" t="str">
            <v>F_CODE</v>
          </cell>
        </row>
      </sheetData>
      <sheetData sheetId="1711">
        <row r="1">
          <cell r="C1" t="str">
            <v>F_CODE</v>
          </cell>
        </row>
      </sheetData>
      <sheetData sheetId="1712">
        <row r="1">
          <cell r="C1" t="str">
            <v>F_CODE</v>
          </cell>
        </row>
      </sheetData>
      <sheetData sheetId="1713">
        <row r="1">
          <cell r="C1" t="str">
            <v>F_CODE</v>
          </cell>
        </row>
      </sheetData>
      <sheetData sheetId="1714">
        <row r="1">
          <cell r="C1" t="str">
            <v>F_CODE</v>
          </cell>
        </row>
      </sheetData>
      <sheetData sheetId="1715">
        <row r="1">
          <cell r="C1" t="str">
            <v>F_CODE</v>
          </cell>
        </row>
      </sheetData>
      <sheetData sheetId="1716">
        <row r="1">
          <cell r="C1" t="str">
            <v>F_CODE</v>
          </cell>
        </row>
      </sheetData>
      <sheetData sheetId="1717">
        <row r="1">
          <cell r="C1" t="str">
            <v>F_CODE</v>
          </cell>
        </row>
      </sheetData>
      <sheetData sheetId="1718">
        <row r="1">
          <cell r="C1" t="str">
            <v>F_CODE</v>
          </cell>
        </row>
      </sheetData>
      <sheetData sheetId="1719">
        <row r="1">
          <cell r="C1" t="str">
            <v>F_CODE</v>
          </cell>
        </row>
      </sheetData>
      <sheetData sheetId="1720">
        <row r="1">
          <cell r="C1" t="str">
            <v>F_CODE</v>
          </cell>
        </row>
      </sheetData>
      <sheetData sheetId="1721">
        <row r="1">
          <cell r="C1" t="str">
            <v>F_CODE</v>
          </cell>
        </row>
      </sheetData>
      <sheetData sheetId="1722">
        <row r="1">
          <cell r="C1" t="str">
            <v>F_CODE</v>
          </cell>
        </row>
      </sheetData>
      <sheetData sheetId="1723">
        <row r="1">
          <cell r="C1" t="str">
            <v>F_CODE</v>
          </cell>
        </row>
      </sheetData>
      <sheetData sheetId="1724">
        <row r="1">
          <cell r="C1" t="str">
            <v>F_CODE</v>
          </cell>
        </row>
      </sheetData>
      <sheetData sheetId="1725">
        <row r="1">
          <cell r="C1" t="str">
            <v>F_CODE</v>
          </cell>
        </row>
      </sheetData>
      <sheetData sheetId="1726">
        <row r="1">
          <cell r="C1" t="str">
            <v>F_CODE</v>
          </cell>
        </row>
      </sheetData>
      <sheetData sheetId="1727">
        <row r="1">
          <cell r="C1" t="str">
            <v>F_CODE</v>
          </cell>
        </row>
      </sheetData>
      <sheetData sheetId="1728">
        <row r="1">
          <cell r="C1" t="str">
            <v>F_CODE</v>
          </cell>
        </row>
      </sheetData>
      <sheetData sheetId="1729">
        <row r="1">
          <cell r="C1" t="str">
            <v>F_CODE</v>
          </cell>
        </row>
      </sheetData>
      <sheetData sheetId="1730">
        <row r="1">
          <cell r="C1" t="str">
            <v>F_CODE</v>
          </cell>
        </row>
      </sheetData>
      <sheetData sheetId="1731">
        <row r="1">
          <cell r="C1" t="str">
            <v>F_CODE</v>
          </cell>
        </row>
      </sheetData>
      <sheetData sheetId="1732">
        <row r="1">
          <cell r="C1" t="str">
            <v>F_CODE</v>
          </cell>
        </row>
      </sheetData>
      <sheetData sheetId="1733">
        <row r="1">
          <cell r="C1" t="str">
            <v>F_CODE</v>
          </cell>
        </row>
      </sheetData>
      <sheetData sheetId="1734">
        <row r="1">
          <cell r="C1" t="str">
            <v>F_CODE</v>
          </cell>
        </row>
      </sheetData>
      <sheetData sheetId="1735">
        <row r="1">
          <cell r="C1" t="str">
            <v>F_CODE</v>
          </cell>
        </row>
      </sheetData>
      <sheetData sheetId="1736">
        <row r="1">
          <cell r="C1" t="str">
            <v>F_CODE</v>
          </cell>
        </row>
      </sheetData>
      <sheetData sheetId="1737">
        <row r="1">
          <cell r="C1" t="str">
            <v>F_CODE</v>
          </cell>
        </row>
      </sheetData>
      <sheetData sheetId="1738">
        <row r="1">
          <cell r="C1" t="str">
            <v>F_CODE</v>
          </cell>
        </row>
      </sheetData>
      <sheetData sheetId="1739">
        <row r="1">
          <cell r="C1" t="str">
            <v>F_CODE</v>
          </cell>
        </row>
      </sheetData>
      <sheetData sheetId="1740">
        <row r="1">
          <cell r="C1" t="str">
            <v>F_CODE</v>
          </cell>
        </row>
      </sheetData>
      <sheetData sheetId="1741">
        <row r="1">
          <cell r="C1" t="str">
            <v>F_CODE</v>
          </cell>
        </row>
      </sheetData>
      <sheetData sheetId="1742">
        <row r="1">
          <cell r="C1" t="str">
            <v>F_CODE</v>
          </cell>
        </row>
      </sheetData>
      <sheetData sheetId="1743">
        <row r="1">
          <cell r="C1" t="str">
            <v>F_CODE</v>
          </cell>
        </row>
      </sheetData>
      <sheetData sheetId="1744">
        <row r="1">
          <cell r="C1" t="str">
            <v>F_CODE</v>
          </cell>
        </row>
      </sheetData>
      <sheetData sheetId="1745">
        <row r="1">
          <cell r="C1" t="str">
            <v>F_CODE</v>
          </cell>
        </row>
      </sheetData>
      <sheetData sheetId="1746">
        <row r="1">
          <cell r="C1" t="str">
            <v>F_CODE</v>
          </cell>
        </row>
      </sheetData>
      <sheetData sheetId="1747">
        <row r="1">
          <cell r="C1" t="str">
            <v>F_CODE</v>
          </cell>
        </row>
      </sheetData>
      <sheetData sheetId="1748">
        <row r="1">
          <cell r="C1" t="str">
            <v>F_CODE</v>
          </cell>
        </row>
      </sheetData>
      <sheetData sheetId="1749">
        <row r="1">
          <cell r="C1" t="str">
            <v>F_CODE</v>
          </cell>
        </row>
      </sheetData>
      <sheetData sheetId="1750">
        <row r="1">
          <cell r="C1" t="str">
            <v>F_CODE</v>
          </cell>
        </row>
      </sheetData>
      <sheetData sheetId="1751">
        <row r="1">
          <cell r="C1" t="str">
            <v>F_CODE</v>
          </cell>
        </row>
      </sheetData>
      <sheetData sheetId="1752">
        <row r="1">
          <cell r="C1" t="str">
            <v>F_CODE</v>
          </cell>
        </row>
      </sheetData>
      <sheetData sheetId="1753">
        <row r="1">
          <cell r="C1" t="str">
            <v>F_CODE</v>
          </cell>
        </row>
      </sheetData>
      <sheetData sheetId="1754">
        <row r="1">
          <cell r="C1" t="str">
            <v>F_CODE</v>
          </cell>
        </row>
      </sheetData>
      <sheetData sheetId="1755">
        <row r="1">
          <cell r="C1" t="str">
            <v>F_CODE</v>
          </cell>
        </row>
      </sheetData>
      <sheetData sheetId="1756">
        <row r="1">
          <cell r="C1" t="str">
            <v>F_CODE</v>
          </cell>
        </row>
      </sheetData>
      <sheetData sheetId="1757">
        <row r="1">
          <cell r="C1" t="str">
            <v>F_CODE</v>
          </cell>
        </row>
      </sheetData>
      <sheetData sheetId="1758">
        <row r="1">
          <cell r="C1" t="str">
            <v>F_CODE</v>
          </cell>
        </row>
      </sheetData>
      <sheetData sheetId="1759">
        <row r="1">
          <cell r="C1" t="str">
            <v>F_CODE</v>
          </cell>
        </row>
      </sheetData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>
        <row r="1">
          <cell r="C1" t="str">
            <v>F_CODE</v>
          </cell>
        </row>
      </sheetData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>
        <row r="1">
          <cell r="C1" t="str">
            <v>F_CODE</v>
          </cell>
        </row>
      </sheetData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>
        <row r="1">
          <cell r="C1" t="str">
            <v>F_CODE</v>
          </cell>
        </row>
      </sheetData>
      <sheetData sheetId="1864">
        <row r="1">
          <cell r="C1" t="str">
            <v>F_CODE</v>
          </cell>
        </row>
      </sheetData>
      <sheetData sheetId="1865">
        <row r="1">
          <cell r="C1" t="str">
            <v>F_CODE</v>
          </cell>
        </row>
      </sheetData>
      <sheetData sheetId="1866">
        <row r="1">
          <cell r="C1" t="str">
            <v>F_CODE</v>
          </cell>
        </row>
      </sheetData>
      <sheetData sheetId="1867">
        <row r="1">
          <cell r="C1" t="str">
            <v>F_CODE</v>
          </cell>
        </row>
      </sheetData>
      <sheetData sheetId="1868">
        <row r="1">
          <cell r="C1" t="str">
            <v>F_CODE</v>
          </cell>
        </row>
      </sheetData>
      <sheetData sheetId="1869">
        <row r="1">
          <cell r="C1" t="str">
            <v>F_CODE</v>
          </cell>
        </row>
      </sheetData>
      <sheetData sheetId="1870">
        <row r="1">
          <cell r="C1" t="str">
            <v>F_CODE</v>
          </cell>
        </row>
      </sheetData>
      <sheetData sheetId="1871">
        <row r="1">
          <cell r="C1" t="str">
            <v>F_CODE</v>
          </cell>
        </row>
      </sheetData>
      <sheetData sheetId="1872">
        <row r="1">
          <cell r="C1" t="str">
            <v>F_CODE</v>
          </cell>
        </row>
      </sheetData>
      <sheetData sheetId="1873">
        <row r="1">
          <cell r="C1" t="str">
            <v>F_CODE</v>
          </cell>
        </row>
      </sheetData>
      <sheetData sheetId="1874">
        <row r="1">
          <cell r="C1" t="str">
            <v>F_CODE</v>
          </cell>
        </row>
      </sheetData>
      <sheetData sheetId="1875">
        <row r="1">
          <cell r="C1" t="str">
            <v>F_CODE</v>
          </cell>
        </row>
      </sheetData>
      <sheetData sheetId="1876">
        <row r="1">
          <cell r="C1" t="str">
            <v>F_CODE</v>
          </cell>
        </row>
      </sheetData>
      <sheetData sheetId="1877">
        <row r="1">
          <cell r="C1" t="str">
            <v>F_CODE</v>
          </cell>
        </row>
      </sheetData>
      <sheetData sheetId="1878">
        <row r="1">
          <cell r="C1" t="str">
            <v>F_CODE</v>
          </cell>
        </row>
      </sheetData>
      <sheetData sheetId="1879">
        <row r="1">
          <cell r="C1" t="str">
            <v>F_CODE</v>
          </cell>
        </row>
      </sheetData>
      <sheetData sheetId="1880">
        <row r="1">
          <cell r="C1" t="str">
            <v>F_CODE</v>
          </cell>
        </row>
      </sheetData>
      <sheetData sheetId="1881">
        <row r="1">
          <cell r="C1" t="str">
            <v>F_CODE</v>
          </cell>
        </row>
      </sheetData>
      <sheetData sheetId="1882">
        <row r="1">
          <cell r="C1" t="str">
            <v>F_CODE</v>
          </cell>
        </row>
      </sheetData>
      <sheetData sheetId="1883">
        <row r="1">
          <cell r="C1" t="str">
            <v>F_CODE</v>
          </cell>
        </row>
      </sheetData>
      <sheetData sheetId="1884">
        <row r="1">
          <cell r="C1" t="str">
            <v>F_CODE</v>
          </cell>
        </row>
      </sheetData>
      <sheetData sheetId="1885">
        <row r="1">
          <cell r="C1" t="str">
            <v>F_CODE</v>
          </cell>
        </row>
      </sheetData>
      <sheetData sheetId="1886">
        <row r="1">
          <cell r="C1" t="str">
            <v>F_CODE</v>
          </cell>
        </row>
      </sheetData>
      <sheetData sheetId="1887">
        <row r="1">
          <cell r="C1" t="str">
            <v>F_CODE</v>
          </cell>
        </row>
      </sheetData>
      <sheetData sheetId="1888">
        <row r="1">
          <cell r="C1" t="str">
            <v>F_CODE</v>
          </cell>
        </row>
      </sheetData>
      <sheetData sheetId="1889">
        <row r="1">
          <cell r="C1" t="str">
            <v>F_CODE</v>
          </cell>
        </row>
      </sheetData>
      <sheetData sheetId="1890">
        <row r="1">
          <cell r="C1" t="str">
            <v>F_CODE</v>
          </cell>
        </row>
      </sheetData>
      <sheetData sheetId="1891">
        <row r="1">
          <cell r="C1" t="str">
            <v>F_CODE</v>
          </cell>
        </row>
      </sheetData>
      <sheetData sheetId="1892">
        <row r="1">
          <cell r="C1" t="str">
            <v>F_CODE</v>
          </cell>
        </row>
      </sheetData>
      <sheetData sheetId="1893">
        <row r="1">
          <cell r="C1" t="str">
            <v>F_CODE</v>
          </cell>
        </row>
      </sheetData>
      <sheetData sheetId="1894">
        <row r="1">
          <cell r="C1" t="str">
            <v>F_CODE</v>
          </cell>
        </row>
      </sheetData>
      <sheetData sheetId="1895">
        <row r="1">
          <cell r="C1" t="str">
            <v>F_CODE</v>
          </cell>
        </row>
      </sheetData>
      <sheetData sheetId="1896">
        <row r="1">
          <cell r="C1" t="str">
            <v>F_CODE</v>
          </cell>
        </row>
      </sheetData>
      <sheetData sheetId="1897">
        <row r="1">
          <cell r="C1" t="str">
            <v>F_CODE</v>
          </cell>
        </row>
      </sheetData>
      <sheetData sheetId="1898">
        <row r="1">
          <cell r="C1" t="str">
            <v>F_CODE</v>
          </cell>
        </row>
      </sheetData>
      <sheetData sheetId="1899">
        <row r="1">
          <cell r="C1" t="str">
            <v>F_CODE</v>
          </cell>
        </row>
      </sheetData>
      <sheetData sheetId="1900">
        <row r="1">
          <cell r="C1" t="str">
            <v>F_CODE</v>
          </cell>
        </row>
      </sheetData>
      <sheetData sheetId="1901">
        <row r="1">
          <cell r="C1" t="str">
            <v>F_CODE</v>
          </cell>
        </row>
      </sheetData>
      <sheetData sheetId="1902">
        <row r="1">
          <cell r="C1" t="str">
            <v>F_CODE</v>
          </cell>
        </row>
      </sheetData>
      <sheetData sheetId="1903">
        <row r="1">
          <cell r="C1" t="str">
            <v>F_CODE</v>
          </cell>
        </row>
      </sheetData>
      <sheetData sheetId="1904">
        <row r="1">
          <cell r="C1" t="str">
            <v>F_CODE</v>
          </cell>
        </row>
      </sheetData>
      <sheetData sheetId="1905">
        <row r="1">
          <cell r="C1" t="str">
            <v>F_CODE</v>
          </cell>
        </row>
      </sheetData>
      <sheetData sheetId="1906">
        <row r="1">
          <cell r="C1" t="str">
            <v>F_CODE</v>
          </cell>
        </row>
      </sheetData>
      <sheetData sheetId="1907">
        <row r="1">
          <cell r="C1" t="str">
            <v>F_CODE</v>
          </cell>
        </row>
      </sheetData>
      <sheetData sheetId="1908">
        <row r="1">
          <cell r="C1" t="str">
            <v>F_CODE</v>
          </cell>
        </row>
      </sheetData>
      <sheetData sheetId="1909">
        <row r="1">
          <cell r="C1" t="str">
            <v>F_CODE</v>
          </cell>
        </row>
      </sheetData>
      <sheetData sheetId="1910">
        <row r="1">
          <cell r="C1" t="str">
            <v>F_CODE</v>
          </cell>
        </row>
      </sheetData>
      <sheetData sheetId="1911">
        <row r="1">
          <cell r="C1" t="str">
            <v>F_CODE</v>
          </cell>
        </row>
      </sheetData>
      <sheetData sheetId="1912">
        <row r="1">
          <cell r="C1" t="str">
            <v>F_CODE</v>
          </cell>
        </row>
      </sheetData>
      <sheetData sheetId="1913">
        <row r="1">
          <cell r="C1" t="str">
            <v>F_CODE</v>
          </cell>
        </row>
      </sheetData>
      <sheetData sheetId="1914">
        <row r="1">
          <cell r="C1" t="str">
            <v>F_CODE</v>
          </cell>
        </row>
      </sheetData>
      <sheetData sheetId="1915">
        <row r="1">
          <cell r="C1" t="str">
            <v>F_CODE</v>
          </cell>
        </row>
      </sheetData>
      <sheetData sheetId="1916">
        <row r="1">
          <cell r="C1" t="str">
            <v>F_CODE</v>
          </cell>
        </row>
      </sheetData>
      <sheetData sheetId="1917">
        <row r="1">
          <cell r="C1" t="str">
            <v>F_CODE</v>
          </cell>
        </row>
      </sheetData>
      <sheetData sheetId="1918">
        <row r="1">
          <cell r="C1" t="str">
            <v>F_CODE</v>
          </cell>
        </row>
      </sheetData>
      <sheetData sheetId="1919">
        <row r="1">
          <cell r="C1" t="str">
            <v>F_CODE</v>
          </cell>
        </row>
      </sheetData>
      <sheetData sheetId="1920">
        <row r="1">
          <cell r="C1" t="str">
            <v>F_CODE</v>
          </cell>
        </row>
      </sheetData>
      <sheetData sheetId="1921">
        <row r="1">
          <cell r="C1" t="str">
            <v>F_CODE</v>
          </cell>
        </row>
      </sheetData>
      <sheetData sheetId="1922">
        <row r="1">
          <cell r="C1" t="str">
            <v>F_CODE</v>
          </cell>
        </row>
      </sheetData>
      <sheetData sheetId="1923">
        <row r="1">
          <cell r="C1" t="str">
            <v>F_CODE</v>
          </cell>
        </row>
      </sheetData>
      <sheetData sheetId="1924">
        <row r="1">
          <cell r="C1" t="str">
            <v>F_CODE</v>
          </cell>
        </row>
      </sheetData>
      <sheetData sheetId="1925">
        <row r="1">
          <cell r="C1" t="str">
            <v>F_CODE</v>
          </cell>
        </row>
      </sheetData>
      <sheetData sheetId="1926">
        <row r="1">
          <cell r="C1" t="str">
            <v>F_CODE</v>
          </cell>
        </row>
      </sheetData>
      <sheetData sheetId="1927">
        <row r="1">
          <cell r="C1" t="str">
            <v>F_CODE</v>
          </cell>
        </row>
      </sheetData>
      <sheetData sheetId="1928">
        <row r="1">
          <cell r="C1" t="str">
            <v>F_CODE</v>
          </cell>
        </row>
      </sheetData>
      <sheetData sheetId="1929">
        <row r="1">
          <cell r="C1" t="str">
            <v>F_CODE</v>
          </cell>
        </row>
      </sheetData>
      <sheetData sheetId="1930">
        <row r="1">
          <cell r="C1" t="str">
            <v>F_CODE</v>
          </cell>
        </row>
      </sheetData>
      <sheetData sheetId="1931">
        <row r="1">
          <cell r="C1" t="str">
            <v>F_CODE</v>
          </cell>
        </row>
      </sheetData>
      <sheetData sheetId="1932">
        <row r="1">
          <cell r="C1" t="str">
            <v>F_CODE</v>
          </cell>
        </row>
      </sheetData>
      <sheetData sheetId="1933">
        <row r="1">
          <cell r="C1" t="str">
            <v>F_CODE</v>
          </cell>
        </row>
      </sheetData>
      <sheetData sheetId="1934">
        <row r="1">
          <cell r="C1" t="str">
            <v>F_CODE</v>
          </cell>
        </row>
      </sheetData>
      <sheetData sheetId="1935">
        <row r="1">
          <cell r="C1" t="str">
            <v>F_CODE</v>
          </cell>
        </row>
      </sheetData>
      <sheetData sheetId="1936">
        <row r="1">
          <cell r="C1" t="str">
            <v>F_CODE</v>
          </cell>
        </row>
      </sheetData>
      <sheetData sheetId="1937">
        <row r="1">
          <cell r="C1" t="str">
            <v>F_CODE</v>
          </cell>
        </row>
      </sheetData>
      <sheetData sheetId="1938">
        <row r="1">
          <cell r="C1" t="str">
            <v>F_CODE</v>
          </cell>
        </row>
      </sheetData>
      <sheetData sheetId="1939">
        <row r="1">
          <cell r="C1" t="str">
            <v>F_CODE</v>
          </cell>
        </row>
      </sheetData>
      <sheetData sheetId="1940">
        <row r="1">
          <cell r="C1" t="str">
            <v>F_CODE</v>
          </cell>
        </row>
      </sheetData>
      <sheetData sheetId="1941">
        <row r="1">
          <cell r="C1" t="str">
            <v>F_CODE</v>
          </cell>
        </row>
      </sheetData>
      <sheetData sheetId="1942">
        <row r="1">
          <cell r="C1" t="str">
            <v>F_CODE</v>
          </cell>
        </row>
      </sheetData>
      <sheetData sheetId="1943">
        <row r="1">
          <cell r="C1" t="str">
            <v>F_CODE</v>
          </cell>
        </row>
      </sheetData>
      <sheetData sheetId="1944">
        <row r="1">
          <cell r="C1" t="str">
            <v>F_CODE</v>
          </cell>
        </row>
      </sheetData>
      <sheetData sheetId="1945">
        <row r="1">
          <cell r="C1" t="str">
            <v>F_CODE</v>
          </cell>
        </row>
      </sheetData>
      <sheetData sheetId="1946">
        <row r="1">
          <cell r="C1" t="str">
            <v>F_CODE</v>
          </cell>
        </row>
      </sheetData>
      <sheetData sheetId="1947">
        <row r="1">
          <cell r="C1" t="str">
            <v>F_CODE</v>
          </cell>
        </row>
      </sheetData>
      <sheetData sheetId="1948">
        <row r="1">
          <cell r="C1" t="str">
            <v>F_CODE</v>
          </cell>
        </row>
      </sheetData>
      <sheetData sheetId="1949">
        <row r="1">
          <cell r="C1" t="str">
            <v>F_CODE</v>
          </cell>
        </row>
      </sheetData>
      <sheetData sheetId="1950">
        <row r="1">
          <cell r="C1" t="str">
            <v>F_CODE</v>
          </cell>
        </row>
      </sheetData>
      <sheetData sheetId="1951">
        <row r="1">
          <cell r="C1" t="str">
            <v>F_CODE</v>
          </cell>
        </row>
      </sheetData>
      <sheetData sheetId="1952">
        <row r="1">
          <cell r="C1" t="str">
            <v>F_CODE</v>
          </cell>
        </row>
      </sheetData>
      <sheetData sheetId="1953">
        <row r="1">
          <cell r="C1" t="str">
            <v>F_CODE</v>
          </cell>
        </row>
      </sheetData>
      <sheetData sheetId="1954">
        <row r="1">
          <cell r="C1" t="str">
            <v>F_CODE</v>
          </cell>
        </row>
      </sheetData>
      <sheetData sheetId="1955">
        <row r="1">
          <cell r="C1" t="str">
            <v>F_CODE</v>
          </cell>
        </row>
      </sheetData>
      <sheetData sheetId="1956">
        <row r="1">
          <cell r="C1" t="str">
            <v>F_CODE</v>
          </cell>
        </row>
      </sheetData>
      <sheetData sheetId="1957">
        <row r="1">
          <cell r="C1" t="str">
            <v>F_CODE</v>
          </cell>
        </row>
      </sheetData>
      <sheetData sheetId="1958">
        <row r="1">
          <cell r="C1" t="str">
            <v>F_CODE</v>
          </cell>
        </row>
      </sheetData>
      <sheetData sheetId="1959">
        <row r="1">
          <cell r="C1" t="str">
            <v>F_CODE</v>
          </cell>
        </row>
      </sheetData>
      <sheetData sheetId="1960">
        <row r="1">
          <cell r="C1" t="str">
            <v>F_CODE</v>
          </cell>
        </row>
      </sheetData>
      <sheetData sheetId="1961">
        <row r="1">
          <cell r="C1" t="str">
            <v>F_CODE</v>
          </cell>
        </row>
      </sheetData>
      <sheetData sheetId="1962">
        <row r="1">
          <cell r="C1" t="str">
            <v>F_CODE</v>
          </cell>
        </row>
      </sheetData>
      <sheetData sheetId="1963">
        <row r="1">
          <cell r="C1" t="str">
            <v>F_CODE</v>
          </cell>
        </row>
      </sheetData>
      <sheetData sheetId="1964">
        <row r="1">
          <cell r="C1" t="str">
            <v>F_CODE</v>
          </cell>
        </row>
      </sheetData>
      <sheetData sheetId="1965">
        <row r="1">
          <cell r="C1" t="str">
            <v>F_CODE</v>
          </cell>
        </row>
      </sheetData>
      <sheetData sheetId="1966">
        <row r="1">
          <cell r="C1" t="str">
            <v>F_CODE</v>
          </cell>
        </row>
      </sheetData>
      <sheetData sheetId="1967"/>
      <sheetData sheetId="1968"/>
      <sheetData sheetId="1969">
        <row r="1">
          <cell r="C1" t="str">
            <v>F_CODE</v>
          </cell>
        </row>
      </sheetData>
      <sheetData sheetId="1970">
        <row r="1">
          <cell r="C1" t="str">
            <v>F_CODE</v>
          </cell>
        </row>
      </sheetData>
      <sheetData sheetId="1971">
        <row r="1">
          <cell r="C1" t="str">
            <v>F_CODE</v>
          </cell>
        </row>
      </sheetData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/>
      <sheetData sheetId="2072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>
        <row r="1">
          <cell r="C1" t="str">
            <v>F_CODE</v>
          </cell>
        </row>
      </sheetData>
      <sheetData sheetId="2102">
        <row r="1">
          <cell r="C1" t="str">
            <v>F_CODE</v>
          </cell>
        </row>
      </sheetData>
      <sheetData sheetId="2103">
        <row r="1">
          <cell r="C1" t="str">
            <v>F_CODE</v>
          </cell>
        </row>
      </sheetData>
      <sheetData sheetId="2104">
        <row r="1">
          <cell r="C1" t="str">
            <v>F_CODE</v>
          </cell>
        </row>
      </sheetData>
      <sheetData sheetId="2105">
        <row r="1">
          <cell r="C1" t="str">
            <v>F_CODE</v>
          </cell>
        </row>
      </sheetData>
      <sheetData sheetId="2106">
        <row r="1">
          <cell r="C1" t="str">
            <v>F_CODE</v>
          </cell>
        </row>
      </sheetData>
      <sheetData sheetId="2107">
        <row r="1">
          <cell r="C1" t="str">
            <v>F_CODE</v>
          </cell>
        </row>
      </sheetData>
      <sheetData sheetId="2108">
        <row r="1">
          <cell r="C1" t="str">
            <v>F_CODE</v>
          </cell>
        </row>
      </sheetData>
      <sheetData sheetId="2109">
        <row r="1">
          <cell r="C1" t="str">
            <v>F_CODE</v>
          </cell>
        </row>
      </sheetData>
      <sheetData sheetId="2110">
        <row r="1">
          <cell r="C1" t="str">
            <v>F_CODE</v>
          </cell>
        </row>
      </sheetData>
      <sheetData sheetId="2111">
        <row r="1">
          <cell r="C1" t="str">
            <v>F_CODE</v>
          </cell>
        </row>
      </sheetData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>
        <row r="1">
          <cell r="C1" t="str">
            <v>F_CODE</v>
          </cell>
        </row>
      </sheetData>
      <sheetData sheetId="2134">
        <row r="1">
          <cell r="C1" t="str">
            <v>F_CODE</v>
          </cell>
        </row>
      </sheetData>
      <sheetData sheetId="2135">
        <row r="1">
          <cell r="C1" t="str">
            <v>F_CODE</v>
          </cell>
        </row>
      </sheetData>
      <sheetData sheetId="2136">
        <row r="1">
          <cell r="C1" t="str">
            <v>F_CODE</v>
          </cell>
        </row>
      </sheetData>
      <sheetData sheetId="2137">
        <row r="1">
          <cell r="C1" t="str">
            <v>F_CODE</v>
          </cell>
        </row>
      </sheetData>
      <sheetData sheetId="2138">
        <row r="1">
          <cell r="C1" t="str">
            <v>F_CODE</v>
          </cell>
        </row>
      </sheetData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/>
      <sheetData sheetId="2328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/>
      <sheetData sheetId="2470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로선구조"/>
      <sheetName val="ABUT수량-A1"/>
      <sheetName val="입찰안"/>
      <sheetName val="가제당공사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로선구조"/>
      <sheetName val="설계개요"/>
      <sheetName val="구천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노임단가"/>
      <sheetName val="설계개요"/>
      <sheetName val="공사비99-10"/>
      <sheetName val="DATE"/>
      <sheetName val="수토공단위당"/>
      <sheetName val="Sheet1 (2)"/>
      <sheetName val="내역"/>
      <sheetName val="덕전리"/>
      <sheetName val="로선구조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토적계산"/>
      <sheetName val="자재조서"/>
      <sheetName val="설계개요"/>
      <sheetName val="자재일람"/>
      <sheetName val="구조물총"/>
      <sheetName val="평야부"/>
      <sheetName val="용수로총"/>
      <sheetName val="입상내역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표지"/>
      <sheetName val="사업개요"/>
      <sheetName val="상세위치도"/>
      <sheetName val="수지예산서"/>
      <sheetName val="부대비"/>
      <sheetName val="폐기물처리비"/>
      <sheetName val="자재대"/>
      <sheetName val="토목총괄표"/>
      <sheetName val="총공사비"/>
      <sheetName val="토목공사비"/>
      <sheetName val="재료집계표"/>
      <sheetName val="재료계산서"/>
      <sheetName val="덮개단면도"/>
      <sheetName val="토적계산서"/>
      <sheetName val="단가일람"/>
      <sheetName val="단가내역"/>
      <sheetName val="기초일람"/>
      <sheetName val="기초내역"/>
      <sheetName val="기초단위당"/>
      <sheetName val="기초작업량"/>
      <sheetName val="자재일람"/>
      <sheetName val="자재내역"/>
      <sheetName val="자재단위당"/>
      <sheetName val="자재작업량"/>
      <sheetName val="중기단위당"/>
      <sheetName val="중기작업량"/>
      <sheetName val="중기일람"/>
      <sheetName val="중기내역"/>
      <sheetName val="중기가격"/>
      <sheetName val="노임"/>
      <sheetName val="자재"/>
      <sheetName val="구역화물"/>
      <sheetName val="운반거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3">
          <cell r="P13">
            <v>90.18</v>
          </cell>
        </row>
      </sheetData>
      <sheetData sheetId="13" refreshError="1"/>
      <sheetData sheetId="14" refreshError="1"/>
      <sheetData sheetId="15">
        <row r="99">
          <cell r="F99">
            <v>4857</v>
          </cell>
          <cell r="G99">
            <v>-4250</v>
          </cell>
          <cell r="H99">
            <v>28980</v>
          </cell>
        </row>
        <row r="101">
          <cell r="F101">
            <v>4887</v>
          </cell>
          <cell r="G101">
            <v>3623</v>
          </cell>
          <cell r="H101">
            <v>28998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표지"/>
      <sheetName val="사업개요"/>
      <sheetName val="상세위치도"/>
      <sheetName val="수지예산서"/>
      <sheetName val="부대비"/>
      <sheetName val="자재대"/>
      <sheetName val="자재집계"/>
      <sheetName val="총 총괄표"/>
      <sheetName val="토목총괄표"/>
      <sheetName val="총공사비"/>
      <sheetName val="토목공사비"/>
      <sheetName val="재료집계표"/>
      <sheetName val="재료계산서"/>
      <sheetName val="토적계산서"/>
      <sheetName val="토공횡단도"/>
      <sheetName val="흡입조단면도"/>
      <sheetName val="작성기준"/>
      <sheetName val="단가일람"/>
      <sheetName val="단가내역"/>
      <sheetName val="기초일람"/>
      <sheetName val="기초내역"/>
      <sheetName val="기초단위당"/>
      <sheetName val="기초작업량"/>
      <sheetName val="자재일람"/>
      <sheetName val="자재내역"/>
      <sheetName val="자재단위당"/>
      <sheetName val="자재작업량"/>
      <sheetName val="중기단위당"/>
      <sheetName val="중기작업량"/>
      <sheetName val="중기일람"/>
      <sheetName val="중기내역"/>
      <sheetName val="중기가격"/>
      <sheetName val="노임"/>
      <sheetName val="자재"/>
      <sheetName val="구역화물"/>
      <sheetName val="운반거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572">
          <cell r="F572" t="str">
            <v>기존 개거숭상(T=200, H=300)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표지"/>
      <sheetName val="사업개요"/>
      <sheetName val="상세위치도"/>
      <sheetName val="수지예산서"/>
      <sheetName val="부대비"/>
      <sheetName val="자재대"/>
      <sheetName val="자재집계"/>
      <sheetName val="폐기물처리비"/>
      <sheetName val="총괄표"/>
      <sheetName val="총공사비"/>
      <sheetName val="공사비"/>
      <sheetName val="재료집계표"/>
      <sheetName val="재료계산서"/>
      <sheetName val="토적계산서"/>
      <sheetName val="개거숭상단면"/>
      <sheetName val="흄관암거"/>
      <sheetName val="콘크리트포장단면"/>
      <sheetName val="종횡단면도"/>
      <sheetName val="작성기준"/>
      <sheetName val="단가일람"/>
      <sheetName val="단가내역"/>
      <sheetName val="기초일람"/>
      <sheetName val="기초내역"/>
      <sheetName val="기초단위당"/>
      <sheetName val="기초작업량"/>
      <sheetName val="자재일람"/>
      <sheetName val="자재내역"/>
      <sheetName val="자재단위당"/>
      <sheetName val="자재작업량"/>
      <sheetName val="중기단위당"/>
      <sheetName val="중기작업량"/>
      <sheetName val="중기일람"/>
      <sheetName val="중기내역"/>
      <sheetName val="중기가격"/>
      <sheetName val="노임"/>
      <sheetName val="자재"/>
      <sheetName val="구역화물"/>
      <sheetName val="운반거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내역서총괄표"/>
      <sheetName val="내역서"/>
      <sheetName val="단가산출총괄표"/>
      <sheetName val="단가산출"/>
      <sheetName val="기계경비총괄표"/>
      <sheetName val="기계경비"/>
      <sheetName val="기계경비적용기준"/>
      <sheetName val="견적단가"/>
      <sheetName val="자재단가"/>
      <sheetName val="노임단가"/>
    </sheetNames>
    <sheetDataSet>
      <sheetData sheetId="0"/>
      <sheetData sheetId="1"/>
      <sheetData sheetId="2"/>
      <sheetData sheetId="3"/>
      <sheetData sheetId="4"/>
      <sheetData sheetId="5">
        <row r="15">
          <cell r="G15">
            <v>57077</v>
          </cell>
          <cell r="H15">
            <v>77087</v>
          </cell>
          <cell r="I15">
            <v>170620</v>
          </cell>
        </row>
        <row r="16">
          <cell r="G16">
            <v>57077</v>
          </cell>
          <cell r="H16">
            <v>11258</v>
          </cell>
          <cell r="I16">
            <v>20711</v>
          </cell>
        </row>
        <row r="17">
          <cell r="G17">
            <v>57077</v>
          </cell>
          <cell r="H17">
            <v>6355</v>
          </cell>
          <cell r="I17">
            <v>7237</v>
          </cell>
        </row>
        <row r="18">
          <cell r="G18">
            <v>57077</v>
          </cell>
          <cell r="H18">
            <v>17540</v>
          </cell>
          <cell r="I18">
            <v>55623</v>
          </cell>
        </row>
        <row r="19">
          <cell r="G19">
            <v>57077</v>
          </cell>
          <cell r="H19">
            <v>13838</v>
          </cell>
          <cell r="I19">
            <v>12390</v>
          </cell>
        </row>
        <row r="20">
          <cell r="G20">
            <v>57077</v>
          </cell>
          <cell r="H20">
            <v>12408</v>
          </cell>
          <cell r="I20">
            <v>18511</v>
          </cell>
        </row>
        <row r="21">
          <cell r="G21">
            <v>57077</v>
          </cell>
          <cell r="H21">
            <v>7439</v>
          </cell>
          <cell r="I21">
            <v>8709</v>
          </cell>
        </row>
        <row r="22">
          <cell r="G22">
            <v>57077</v>
          </cell>
          <cell r="H22">
            <v>17181</v>
          </cell>
          <cell r="I22">
            <v>15518</v>
          </cell>
        </row>
        <row r="23">
          <cell r="G23">
            <v>49479</v>
          </cell>
          <cell r="H23">
            <v>21146</v>
          </cell>
          <cell r="I23">
            <v>18728</v>
          </cell>
        </row>
      </sheetData>
      <sheetData sheetId="6"/>
      <sheetData sheetId="7"/>
      <sheetData sheetId="8"/>
      <sheetData sheetId="9">
        <row r="14">
          <cell r="R14">
            <v>6000</v>
          </cell>
        </row>
      </sheetData>
      <sheetData sheetId="10">
        <row r="4">
          <cell r="F4">
            <v>169804</v>
          </cell>
        </row>
        <row r="12">
          <cell r="F12">
            <v>267989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표지"/>
      <sheetName val="사업개요"/>
      <sheetName val="수지예산서"/>
      <sheetName val="토목총괄표"/>
      <sheetName val="총공사비"/>
      <sheetName val="토목공사비"/>
      <sheetName val="재료집계표"/>
      <sheetName val="덮개단면도"/>
      <sheetName val="퇴적물량"/>
      <sheetName val="퇴적물량 산출"/>
      <sheetName val="단가일람"/>
      <sheetName val="단가내역"/>
      <sheetName val="기초일람"/>
      <sheetName val="기초내역"/>
      <sheetName val="기초단위당"/>
      <sheetName val="기초작업량"/>
      <sheetName val="자재일람"/>
      <sheetName val="자재내역"/>
      <sheetName val="자재단위당"/>
      <sheetName val="자재작업량"/>
      <sheetName val="중기단위당"/>
      <sheetName val="중기작업량"/>
      <sheetName val="중기일람"/>
      <sheetName val="중기내역"/>
      <sheetName val="중기가격"/>
      <sheetName val="노임"/>
      <sheetName val="자재"/>
      <sheetName val="구역화물"/>
      <sheetName val="운반거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>
        <row r="82">
          <cell r="F82">
            <v>15.68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표지"/>
      <sheetName val="사업개요"/>
      <sheetName val="상세위치도"/>
      <sheetName val="수지예산서"/>
      <sheetName val="부대비"/>
      <sheetName val="폐기물처리비"/>
      <sheetName val="자재대"/>
      <sheetName val="토목총괄표"/>
      <sheetName val="총공사비"/>
      <sheetName val="토목공사비"/>
      <sheetName val="재료집계표"/>
      <sheetName val="재료계산서"/>
      <sheetName val="덮개단면도"/>
      <sheetName val="단가일람"/>
      <sheetName val="단가내역"/>
      <sheetName val="기초일람"/>
      <sheetName val="기초내역"/>
      <sheetName val="기초단위당"/>
      <sheetName val="기초작업량"/>
      <sheetName val="자재일람"/>
      <sheetName val="자재내역"/>
      <sheetName val="자재단위당"/>
      <sheetName val="자재작업량"/>
      <sheetName val="중기단위당"/>
      <sheetName val="중기작업량"/>
      <sheetName val="중기일람"/>
      <sheetName val="중기내역"/>
      <sheetName val="중기가격"/>
      <sheetName val="노임"/>
      <sheetName val="자재"/>
      <sheetName val="구역화물"/>
      <sheetName val="운반거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3">
          <cell r="F3">
            <v>229676</v>
          </cell>
        </row>
      </sheetData>
      <sheetData sheetId="30"/>
      <sheetData sheetId="31"/>
      <sheetData sheetId="3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5" Type="http://schemas.openxmlformats.org/officeDocument/2006/relationships/drawing" Target="../drawings/drawing5.xml"/><Relationship Id="rId4" Type="http://schemas.openxmlformats.org/officeDocument/2006/relationships/printerSettings" Target="../printerSettings/printerSettings20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1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4.bin"/><Relationship Id="rId2" Type="http://schemas.openxmlformats.org/officeDocument/2006/relationships/printerSettings" Target="../printerSettings/printerSettings23.bin"/><Relationship Id="rId1" Type="http://schemas.openxmlformats.org/officeDocument/2006/relationships/printerSettings" Target="../printerSettings/printerSettings22.bin"/><Relationship Id="rId4" Type="http://schemas.openxmlformats.org/officeDocument/2006/relationships/printerSettings" Target="../printerSettings/printerSettings25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8.bin"/><Relationship Id="rId2" Type="http://schemas.openxmlformats.org/officeDocument/2006/relationships/printerSettings" Target="../printerSettings/printerSettings27.bin"/><Relationship Id="rId1" Type="http://schemas.openxmlformats.org/officeDocument/2006/relationships/printerSettings" Target="../printerSettings/printerSettings26.bin"/><Relationship Id="rId5" Type="http://schemas.openxmlformats.org/officeDocument/2006/relationships/drawing" Target="../drawings/drawing7.xml"/><Relationship Id="rId4" Type="http://schemas.openxmlformats.org/officeDocument/2006/relationships/printerSettings" Target="../printerSettings/printerSettings29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2.bin"/><Relationship Id="rId2" Type="http://schemas.openxmlformats.org/officeDocument/2006/relationships/printerSettings" Target="../printerSettings/printerSettings31.bin"/><Relationship Id="rId1" Type="http://schemas.openxmlformats.org/officeDocument/2006/relationships/printerSettings" Target="../printerSettings/printerSettings30.bin"/><Relationship Id="rId5" Type="http://schemas.openxmlformats.org/officeDocument/2006/relationships/drawing" Target="../drawings/drawing8.xml"/><Relationship Id="rId4" Type="http://schemas.openxmlformats.org/officeDocument/2006/relationships/printerSettings" Target="../printerSettings/printerSettings33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6.bin"/><Relationship Id="rId2" Type="http://schemas.openxmlformats.org/officeDocument/2006/relationships/printerSettings" Target="../printerSettings/printerSettings35.bin"/><Relationship Id="rId1" Type="http://schemas.openxmlformats.org/officeDocument/2006/relationships/printerSettings" Target="../printerSettings/printerSettings34.bin"/><Relationship Id="rId4" Type="http://schemas.openxmlformats.org/officeDocument/2006/relationships/printerSettings" Target="../printerSettings/printerSettings37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0.bin"/><Relationship Id="rId2" Type="http://schemas.openxmlformats.org/officeDocument/2006/relationships/printerSettings" Target="../printerSettings/printerSettings39.bin"/><Relationship Id="rId1" Type="http://schemas.openxmlformats.org/officeDocument/2006/relationships/printerSettings" Target="../printerSettings/printerSettings38.bin"/><Relationship Id="rId4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4.bin"/><Relationship Id="rId2" Type="http://schemas.openxmlformats.org/officeDocument/2006/relationships/printerSettings" Target="../printerSettings/printerSettings43.bin"/><Relationship Id="rId1" Type="http://schemas.openxmlformats.org/officeDocument/2006/relationships/printerSettings" Target="../printerSettings/printerSettings42.bin"/><Relationship Id="rId4" Type="http://schemas.openxmlformats.org/officeDocument/2006/relationships/printerSettings" Target="../printerSettings/printerSettings45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8.bin"/><Relationship Id="rId2" Type="http://schemas.openxmlformats.org/officeDocument/2006/relationships/printerSettings" Target="../printerSettings/printerSettings47.bin"/><Relationship Id="rId1" Type="http://schemas.openxmlformats.org/officeDocument/2006/relationships/printerSettings" Target="../printerSettings/printerSettings46.bin"/><Relationship Id="rId5" Type="http://schemas.openxmlformats.org/officeDocument/2006/relationships/drawing" Target="../drawings/drawing9.xml"/><Relationship Id="rId4" Type="http://schemas.openxmlformats.org/officeDocument/2006/relationships/printerSettings" Target="../printerSettings/printerSettings49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2.bin"/><Relationship Id="rId2" Type="http://schemas.openxmlformats.org/officeDocument/2006/relationships/printerSettings" Target="../printerSettings/printerSettings51.bin"/><Relationship Id="rId1" Type="http://schemas.openxmlformats.org/officeDocument/2006/relationships/printerSettings" Target="../printerSettings/printerSettings50.bin"/><Relationship Id="rId5" Type="http://schemas.openxmlformats.org/officeDocument/2006/relationships/drawing" Target="../drawings/drawing10.xml"/><Relationship Id="rId4" Type="http://schemas.openxmlformats.org/officeDocument/2006/relationships/printerSettings" Target="../printerSettings/printerSettings53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6.bin"/><Relationship Id="rId2" Type="http://schemas.openxmlformats.org/officeDocument/2006/relationships/printerSettings" Target="../printerSettings/printerSettings55.bin"/><Relationship Id="rId1" Type="http://schemas.openxmlformats.org/officeDocument/2006/relationships/printerSettings" Target="../printerSettings/printerSettings54.bin"/><Relationship Id="rId4" Type="http://schemas.openxmlformats.org/officeDocument/2006/relationships/printerSettings" Target="../printerSettings/printerSettings57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0.bin"/><Relationship Id="rId2" Type="http://schemas.openxmlformats.org/officeDocument/2006/relationships/printerSettings" Target="../printerSettings/printerSettings59.bin"/><Relationship Id="rId1" Type="http://schemas.openxmlformats.org/officeDocument/2006/relationships/printerSettings" Target="../printerSettings/printerSettings58.bin"/><Relationship Id="rId4" Type="http://schemas.openxmlformats.org/officeDocument/2006/relationships/printerSettings" Target="../printerSettings/printerSettings61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4.bin"/><Relationship Id="rId2" Type="http://schemas.openxmlformats.org/officeDocument/2006/relationships/printerSettings" Target="../printerSettings/printerSettings63.bin"/><Relationship Id="rId1" Type="http://schemas.openxmlformats.org/officeDocument/2006/relationships/printerSettings" Target="../printerSettings/printerSettings62.bin"/><Relationship Id="rId4" Type="http://schemas.openxmlformats.org/officeDocument/2006/relationships/printerSettings" Target="../printerSettings/printerSettings65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8.bin"/><Relationship Id="rId2" Type="http://schemas.openxmlformats.org/officeDocument/2006/relationships/printerSettings" Target="../printerSettings/printerSettings67.bin"/><Relationship Id="rId1" Type="http://schemas.openxmlformats.org/officeDocument/2006/relationships/printerSettings" Target="../printerSettings/printerSettings66.bin"/><Relationship Id="rId4" Type="http://schemas.openxmlformats.org/officeDocument/2006/relationships/printerSettings" Target="../printerSettings/printerSettings69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2.bin"/><Relationship Id="rId2" Type="http://schemas.openxmlformats.org/officeDocument/2006/relationships/printerSettings" Target="../printerSettings/printerSettings71.bin"/><Relationship Id="rId1" Type="http://schemas.openxmlformats.org/officeDocument/2006/relationships/printerSettings" Target="../printerSettings/printerSettings70.bin"/><Relationship Id="rId4" Type="http://schemas.openxmlformats.org/officeDocument/2006/relationships/printerSettings" Target="../printerSettings/printerSettings73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6.bin"/><Relationship Id="rId2" Type="http://schemas.openxmlformats.org/officeDocument/2006/relationships/printerSettings" Target="../printerSettings/printerSettings75.bin"/><Relationship Id="rId1" Type="http://schemas.openxmlformats.org/officeDocument/2006/relationships/printerSettings" Target="../printerSettings/printerSettings74.bin"/><Relationship Id="rId5" Type="http://schemas.openxmlformats.org/officeDocument/2006/relationships/drawing" Target="../drawings/drawing11.xml"/><Relationship Id="rId4" Type="http://schemas.openxmlformats.org/officeDocument/2006/relationships/printerSettings" Target="../printerSettings/printerSettings77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0.bin"/><Relationship Id="rId2" Type="http://schemas.openxmlformats.org/officeDocument/2006/relationships/printerSettings" Target="../printerSettings/printerSettings79.bin"/><Relationship Id="rId1" Type="http://schemas.openxmlformats.org/officeDocument/2006/relationships/printerSettings" Target="../printerSettings/printerSettings78.bin"/><Relationship Id="rId4" Type="http://schemas.openxmlformats.org/officeDocument/2006/relationships/printerSettings" Target="../printerSettings/printerSettings8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4.bin"/><Relationship Id="rId2" Type="http://schemas.openxmlformats.org/officeDocument/2006/relationships/printerSettings" Target="../printerSettings/printerSettings83.bin"/><Relationship Id="rId1" Type="http://schemas.openxmlformats.org/officeDocument/2006/relationships/printerSettings" Target="../printerSettings/printerSettings82.bin"/><Relationship Id="rId5" Type="http://schemas.openxmlformats.org/officeDocument/2006/relationships/drawing" Target="../drawings/drawing12.xml"/><Relationship Id="rId4" Type="http://schemas.openxmlformats.org/officeDocument/2006/relationships/printerSettings" Target="../printerSettings/printerSettings85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8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/>
  <dimension ref="A1"/>
  <sheetViews>
    <sheetView workbookViewId="0"/>
  </sheetViews>
  <sheetFormatPr defaultRowHeight="13.5"/>
  <sheetData/>
  <customSheetViews>
    <customSheetView guid="{D73D5080-A04E-11D4-B8A5-00609727EAB1}" state="veryHidden" showRuler="0">
      <pageMargins left="0.75" right="0.75" top="1" bottom="1" header="0.5" footer="0.5"/>
      <headerFooter alignWithMargins="0"/>
    </customSheetView>
    <customSheetView guid="{2D877E0D-A04C-11D4-947E-00001C044B2C}" state="veryHidden" showRuler="0">
      <pageMargins left="0.75" right="0.75" top="1" bottom="1" header="0.5" footer="0.5"/>
      <headerFooter alignWithMargins="0"/>
    </customSheetView>
    <customSheetView guid="{6F21C780-A002-11D4-A1D9-00104BD549C6}" state="veryHidden" showRuler="0">
      <pageMargins left="0.75" right="0.75" top="1" bottom="1" header="0.5" footer="0.5"/>
      <headerFooter alignWithMargins="0"/>
    </customSheetView>
  </customSheetViews>
  <phoneticPr fontId="3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5"/>
  <sheetViews>
    <sheetView tabSelected="1" view="pageBreakPreview" zoomScaleNormal="100" zoomScaleSheetLayoutView="100" workbookViewId="0">
      <selection activeCell="N10" sqref="N10"/>
    </sheetView>
  </sheetViews>
  <sheetFormatPr defaultColWidth="8.88671875" defaultRowHeight="15"/>
  <cols>
    <col min="1" max="1" width="14.33203125" style="433" customWidth="1"/>
    <col min="2" max="2" width="4.6640625" style="433" customWidth="1"/>
    <col min="3" max="3" width="14.33203125" style="433" customWidth="1"/>
    <col min="4" max="4" width="10.44140625" style="433" customWidth="1"/>
    <col min="5" max="5" width="9.109375" style="433" customWidth="1"/>
    <col min="6" max="6" width="8.21875" style="433" customWidth="1"/>
    <col min="7" max="7" width="14.44140625" style="433" customWidth="1"/>
    <col min="8" max="8" width="4.6640625" style="433" customWidth="1"/>
    <col min="9" max="10" width="8.88671875" style="433"/>
    <col min="11" max="11" width="17.21875" style="433" customWidth="1"/>
    <col min="12" max="16384" width="8.88671875" style="433"/>
  </cols>
  <sheetData>
    <row r="1" spans="1:11" s="432" customFormat="1" ht="35.25" customHeight="1">
      <c r="A1" s="431" t="s">
        <v>2558</v>
      </c>
      <c r="J1" s="992" t="s">
        <v>2756</v>
      </c>
      <c r="K1" s="992"/>
    </row>
    <row r="2" spans="1:11" s="432" customFormat="1" ht="24.95" customHeight="1"/>
    <row r="3" spans="1:11" s="432" customFormat="1" ht="24.95" customHeight="1"/>
    <row r="4" spans="1:11" s="432" customFormat="1" ht="24.95" customHeight="1"/>
    <row r="5" spans="1:11" s="432" customFormat="1" ht="24.95" customHeight="1"/>
    <row r="6" spans="1:11" s="432" customFormat="1" ht="24.95" customHeight="1"/>
    <row r="7" spans="1:11" s="432" customFormat="1" ht="60.75" customHeight="1">
      <c r="A7" s="993" t="s">
        <v>2757</v>
      </c>
      <c r="B7" s="994"/>
      <c r="C7" s="994"/>
      <c r="D7" s="994"/>
      <c r="E7" s="994"/>
      <c r="F7" s="994"/>
      <c r="G7" s="994"/>
      <c r="H7" s="994"/>
      <c r="I7" s="994"/>
      <c r="J7" s="994"/>
      <c r="K7" s="994"/>
    </row>
    <row r="8" spans="1:11" s="432" customFormat="1" ht="24.95" customHeight="1">
      <c r="A8" s="996" t="s">
        <v>1692</v>
      </c>
      <c r="B8" s="996"/>
      <c r="C8" s="996"/>
      <c r="D8" s="996"/>
      <c r="E8" s="996"/>
      <c r="F8" s="996"/>
      <c r="G8" s="996"/>
      <c r="H8" s="996"/>
      <c r="I8" s="996"/>
      <c r="J8" s="996"/>
      <c r="K8" s="996"/>
    </row>
    <row r="9" spans="1:11" s="432" customFormat="1" ht="24.95" customHeight="1">
      <c r="A9" s="549"/>
      <c r="B9" s="549"/>
      <c r="C9" s="549"/>
      <c r="D9" s="549"/>
      <c r="E9" s="549"/>
      <c r="F9" s="549"/>
      <c r="G9" s="549"/>
      <c r="H9" s="549"/>
      <c r="I9" s="549"/>
      <c r="J9" s="549"/>
      <c r="K9" s="549"/>
    </row>
    <row r="10" spans="1:11" s="432" customFormat="1" ht="24.95" customHeight="1">
      <c r="A10" s="549" t="s">
        <v>1692</v>
      </c>
      <c r="B10" s="549" t="s">
        <v>1692</v>
      </c>
      <c r="C10" s="549" t="s">
        <v>1692</v>
      </c>
      <c r="D10" s="549" t="s">
        <v>1692</v>
      </c>
      <c r="E10" s="549" t="s">
        <v>1692</v>
      </c>
      <c r="F10" s="549" t="s">
        <v>1692</v>
      </c>
      <c r="G10" s="549" t="s">
        <v>1692</v>
      </c>
      <c r="H10" s="549" t="s">
        <v>1692</v>
      </c>
      <c r="I10" s="549" t="s">
        <v>1692</v>
      </c>
      <c r="J10" s="549" t="s">
        <v>1692</v>
      </c>
      <c r="K10" s="549" t="s">
        <v>1692</v>
      </c>
    </row>
    <row r="11" spans="1:11" s="432" customFormat="1" ht="24.95" customHeight="1">
      <c r="A11" s="549"/>
      <c r="B11" s="549"/>
      <c r="C11" s="549" t="s">
        <v>1692</v>
      </c>
      <c r="D11" s="549" t="s">
        <v>1692</v>
      </c>
      <c r="E11" s="549" t="s">
        <v>1692</v>
      </c>
      <c r="F11" s="549" t="s">
        <v>1692</v>
      </c>
      <c r="G11" s="549" t="s">
        <v>1692</v>
      </c>
      <c r="H11" s="549" t="s">
        <v>1692</v>
      </c>
      <c r="I11" s="549" t="s">
        <v>1692</v>
      </c>
      <c r="J11" s="549"/>
      <c r="K11" s="549" t="s">
        <v>1692</v>
      </c>
    </row>
    <row r="12" spans="1:11" s="432" customFormat="1" ht="24.95" customHeight="1">
      <c r="A12" s="549"/>
      <c r="B12" s="549"/>
      <c r="C12" s="549"/>
      <c r="D12" s="549"/>
      <c r="E12" s="549"/>
      <c r="F12" s="549"/>
      <c r="G12" s="549"/>
      <c r="H12" s="549"/>
      <c r="I12" s="549"/>
      <c r="J12" s="549"/>
      <c r="K12" s="549"/>
    </row>
    <row r="13" spans="1:11" s="432" customFormat="1" ht="24.95" customHeight="1">
      <c r="A13" s="549"/>
      <c r="B13" s="549"/>
      <c r="C13" s="549"/>
      <c r="D13" s="549"/>
      <c r="E13" s="549"/>
      <c r="F13" s="549"/>
      <c r="G13" s="549"/>
      <c r="H13" s="549"/>
      <c r="I13" s="549"/>
      <c r="J13" s="549"/>
      <c r="K13" s="549"/>
    </row>
    <row r="14" spans="1:11" s="432" customFormat="1" ht="24.95" customHeight="1">
      <c r="A14" s="549"/>
      <c r="B14" s="549"/>
      <c r="C14" s="549"/>
      <c r="D14" s="549"/>
      <c r="E14" s="549"/>
      <c r="F14" s="549"/>
      <c r="G14" s="549"/>
      <c r="H14" s="549"/>
      <c r="I14" s="549"/>
      <c r="J14" s="549"/>
      <c r="K14" s="549"/>
    </row>
    <row r="15" spans="1:11" s="432" customFormat="1" ht="35.25" customHeight="1">
      <c r="A15" s="995" t="s">
        <v>2559</v>
      </c>
      <c r="B15" s="995"/>
      <c r="C15" s="995"/>
      <c r="D15" s="995"/>
      <c r="E15" s="995"/>
      <c r="F15" s="995"/>
      <c r="G15" s="995"/>
      <c r="H15" s="995"/>
      <c r="I15" s="995"/>
      <c r="J15" s="995"/>
      <c r="K15" s="995"/>
    </row>
  </sheetData>
  <mergeCells count="4">
    <mergeCell ref="J1:K1"/>
    <mergeCell ref="A7:K7"/>
    <mergeCell ref="A15:K15"/>
    <mergeCell ref="A8:K8"/>
  </mergeCells>
  <phoneticPr fontId="3" type="noConversion"/>
  <printOptions horizontalCentered="1"/>
  <pageMargins left="0.61" right="0.6" top="0.98425196850393704" bottom="1.03" header="0.51181102362204722" footer="0.51181102362204722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46"/>
  <sheetViews>
    <sheetView view="pageBreakPreview" zoomScaleNormal="100" zoomScaleSheetLayoutView="100" workbookViewId="0">
      <selection activeCell="C4" sqref="C4"/>
    </sheetView>
  </sheetViews>
  <sheetFormatPr defaultColWidth="8.88671875" defaultRowHeight="13.5"/>
  <cols>
    <col min="1" max="1" width="15.44140625" style="399" customWidth="1"/>
    <col min="2" max="2" width="1.77734375" style="399" customWidth="1"/>
    <col min="3" max="3" width="28.5546875" style="399" customWidth="1"/>
    <col min="4" max="4" width="23.5546875" style="399" customWidth="1"/>
    <col min="5" max="5" width="9.21875" style="399" customWidth="1"/>
    <col min="6" max="6" width="4.6640625" style="399" customWidth="1"/>
    <col min="7" max="7" width="11.109375" style="399" customWidth="1"/>
    <col min="8" max="8" width="5.21875" style="399" customWidth="1"/>
    <col min="9" max="9" width="8" style="399" customWidth="1"/>
    <col min="10" max="10" width="4" style="399" customWidth="1"/>
    <col min="11" max="11" width="6.5546875" style="399" customWidth="1"/>
    <col min="12" max="12" width="2.88671875" style="399" customWidth="1"/>
    <col min="13" max="14" width="10.44140625" style="399" bestFit="1" customWidth="1"/>
    <col min="15" max="16384" width="8.88671875" style="399"/>
  </cols>
  <sheetData>
    <row r="1" spans="1:14" ht="30" customHeight="1">
      <c r="A1" s="997" t="s">
        <v>1292</v>
      </c>
      <c r="B1" s="998"/>
      <c r="C1" s="998"/>
      <c r="D1" s="998"/>
      <c r="E1" s="998"/>
      <c r="F1" s="998"/>
      <c r="G1" s="998"/>
      <c r="H1" s="998"/>
      <c r="I1" s="998"/>
      <c r="J1" s="998"/>
      <c r="K1" s="998"/>
      <c r="L1" s="999"/>
    </row>
    <row r="2" spans="1:14" ht="7.5" customHeight="1">
      <c r="A2" s="764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765"/>
    </row>
    <row r="3" spans="1:14" s="424" customFormat="1" ht="21.75" customHeight="1">
      <c r="A3" s="761" t="s">
        <v>985</v>
      </c>
      <c r="B3" s="624"/>
      <c r="C3" s="625" t="s">
        <v>2757</v>
      </c>
      <c r="D3" s="625"/>
      <c r="E3" s="625"/>
      <c r="F3" s="625"/>
      <c r="G3" s="624"/>
      <c r="H3" s="624"/>
      <c r="I3" s="1000"/>
      <c r="J3" s="1000"/>
      <c r="K3" s="1000"/>
      <c r="L3" s="626"/>
    </row>
    <row r="4" spans="1:14" s="424" customFormat="1" ht="21.75" customHeight="1">
      <c r="A4" s="761" t="s">
        <v>1293</v>
      </c>
      <c r="B4" s="624"/>
      <c r="C4" s="627" t="s">
        <v>2144</v>
      </c>
      <c r="D4" s="628"/>
      <c r="E4" s="628"/>
      <c r="F4" s="628"/>
      <c r="G4" s="627"/>
      <c r="H4" s="627"/>
      <c r="I4" s="627"/>
      <c r="J4" s="624"/>
      <c r="K4" s="624"/>
      <c r="L4" s="629"/>
    </row>
    <row r="5" spans="1:14" s="424" customFormat="1" ht="21.75" customHeight="1">
      <c r="A5" s="630" t="s">
        <v>1294</v>
      </c>
      <c r="B5" s="631"/>
      <c r="C5" s="627" t="s">
        <v>2699</v>
      </c>
      <c r="D5" s="628"/>
      <c r="E5" s="628"/>
      <c r="F5" s="627"/>
      <c r="G5" s="627"/>
      <c r="H5" s="624"/>
      <c r="I5" s="624"/>
      <c r="J5" s="624"/>
      <c r="K5" s="624"/>
      <c r="L5" s="629"/>
    </row>
    <row r="6" spans="1:14" s="424" customFormat="1" ht="21.75" customHeight="1">
      <c r="A6" s="761" t="s">
        <v>1295</v>
      </c>
      <c r="B6" s="624"/>
      <c r="C6" s="627" t="s">
        <v>741</v>
      </c>
      <c r="D6" s="632">
        <v>0</v>
      </c>
      <c r="E6" s="633" t="s">
        <v>1296</v>
      </c>
      <c r="F6" s="633"/>
      <c r="G6" s="624"/>
      <c r="H6" s="624"/>
      <c r="I6" s="624"/>
      <c r="J6" s="624"/>
      <c r="K6" s="624"/>
      <c r="L6" s="629"/>
    </row>
    <row r="7" spans="1:14" s="424" customFormat="1" ht="6" customHeight="1">
      <c r="A7" s="1001" t="s">
        <v>1297</v>
      </c>
      <c r="B7" s="634"/>
      <c r="C7" s="635"/>
      <c r="D7" s="636"/>
      <c r="E7" s="637"/>
      <c r="F7" s="637"/>
      <c r="G7" s="634"/>
      <c r="H7" s="634"/>
      <c r="I7" s="634"/>
      <c r="J7" s="634"/>
      <c r="K7" s="634"/>
      <c r="L7" s="638"/>
    </row>
    <row r="8" spans="1:14" s="424" customFormat="1" ht="21.75" customHeight="1">
      <c r="A8" s="1002"/>
      <c r="B8" s="639"/>
      <c r="C8" s="768" t="s">
        <v>1298</v>
      </c>
      <c r="D8" s="1008" t="str">
        <f>C3</f>
        <v>2026년 금정용수지선 외 6개소 보수보강 공사</v>
      </c>
      <c r="E8" s="1009"/>
      <c r="F8" s="1009"/>
      <c r="G8" s="1009"/>
      <c r="H8" s="1009"/>
      <c r="I8" s="1010"/>
      <c r="J8" s="1005" t="s">
        <v>1299</v>
      </c>
      <c r="K8" s="1006"/>
      <c r="L8" s="639"/>
    </row>
    <row r="9" spans="1:14" s="424" customFormat="1" ht="17.45" customHeight="1">
      <c r="A9" s="1002"/>
      <c r="B9" s="639"/>
      <c r="C9" s="640"/>
      <c r="D9" s="641"/>
      <c r="E9" s="642"/>
      <c r="F9" s="643"/>
      <c r="G9" s="644"/>
      <c r="H9" s="643"/>
      <c r="I9" s="643"/>
      <c r="J9" s="1007"/>
      <c r="K9" s="1007"/>
      <c r="L9" s="639"/>
    </row>
    <row r="10" spans="1:14" s="424" customFormat="1" ht="17.45" customHeight="1">
      <c r="A10" s="1002"/>
      <c r="B10" s="639"/>
      <c r="C10" s="640" t="str">
        <f>재료집계표!D2</f>
        <v>금정리 344</v>
      </c>
      <c r="D10" s="641" t="str">
        <f>재료집계표!D3</f>
        <v>○ 수로관 교체</v>
      </c>
      <c r="E10" s="642">
        <f>재료집계표!D5</f>
        <v>10</v>
      </c>
      <c r="F10" s="643" t="s">
        <v>640</v>
      </c>
      <c r="G10" s="644"/>
      <c r="H10" s="654"/>
      <c r="I10" s="643"/>
      <c r="J10" s="1007"/>
      <c r="K10" s="1007"/>
      <c r="L10" s="639"/>
    </row>
    <row r="11" spans="1:14" s="424" customFormat="1" ht="17.45" customHeight="1">
      <c r="A11" s="1002"/>
      <c r="B11" s="639"/>
      <c r="C11" s="640" t="str">
        <f>재료집계표!E2</f>
        <v>신흥리 817</v>
      </c>
      <c r="D11" s="641" t="str">
        <f>재료집계표!E3</f>
        <v>○ 송수관로 누출</v>
      </c>
      <c r="E11" s="642">
        <f>재료집계표!E5</f>
        <v>30</v>
      </c>
      <c r="F11" s="643" t="s">
        <v>640</v>
      </c>
      <c r="G11" s="644"/>
      <c r="H11" s="642"/>
      <c r="I11" s="643"/>
      <c r="J11" s="1007"/>
      <c r="K11" s="1007"/>
      <c r="L11" s="639"/>
    </row>
    <row r="12" spans="1:14" s="424" customFormat="1" ht="17.45" customHeight="1">
      <c r="A12" s="1002"/>
      <c r="B12" s="639"/>
      <c r="C12" s="645" t="str">
        <f>재료집계표!F2</f>
        <v>청소리 613</v>
      </c>
      <c r="D12" s="641" t="str">
        <f>재료집계표!F3</f>
        <v>○ 유공관 보수</v>
      </c>
      <c r="E12" s="642">
        <f>재료집계표!F5</f>
        <v>20</v>
      </c>
      <c r="F12" s="643" t="str">
        <f>재료계산서!C18</f>
        <v>m</v>
      </c>
      <c r="G12" s="644"/>
      <c r="H12" s="642"/>
      <c r="I12" s="643"/>
      <c r="J12" s="1007"/>
      <c r="K12" s="1007"/>
      <c r="L12" s="639"/>
    </row>
    <row r="13" spans="1:14" s="424" customFormat="1" ht="17.45" customHeight="1">
      <c r="A13" s="1002"/>
      <c r="B13" s="639"/>
      <c r="C13" s="645" t="str">
        <f>재료집계표!G2</f>
        <v>왕진리 936-9</v>
      </c>
      <c r="D13" s="641" t="str">
        <f>재료집계표!G3</f>
        <v>○ 송수관로 누출</v>
      </c>
      <c r="E13" s="642">
        <f>재료집계표!G5</f>
        <v>30</v>
      </c>
      <c r="F13" s="643" t="s">
        <v>640</v>
      </c>
      <c r="G13" s="644"/>
      <c r="H13" s="642"/>
      <c r="I13" s="643"/>
      <c r="J13" s="1007"/>
      <c r="K13" s="1007"/>
      <c r="L13" s="639"/>
    </row>
    <row r="14" spans="1:14" s="424" customFormat="1" ht="17.45" customHeight="1">
      <c r="A14" s="1002"/>
      <c r="B14" s="639"/>
      <c r="C14" s="645" t="str">
        <f>재료집계표!H2</f>
        <v>사점리 167</v>
      </c>
      <c r="D14" s="641" t="str">
        <f>재료집계표!H3</f>
        <v>○ 송수관로 누출</v>
      </c>
      <c r="E14" s="642">
        <f>재료집계표!H5</f>
        <v>30</v>
      </c>
      <c r="F14" s="643" t="s">
        <v>640</v>
      </c>
      <c r="G14" s="644"/>
      <c r="H14" s="642"/>
      <c r="I14" s="643"/>
      <c r="J14" s="646"/>
      <c r="K14" s="647"/>
      <c r="L14" s="639"/>
      <c r="N14" s="424">
        <f>21956000</f>
        <v>21956000</v>
      </c>
    </row>
    <row r="15" spans="1:14" s="424" customFormat="1" ht="17.45" customHeight="1">
      <c r="A15" s="1002"/>
      <c r="B15" s="639"/>
      <c r="C15" s="645" t="str">
        <f>재료집계표!I2</f>
        <v>중산리 732-1</v>
      </c>
      <c r="D15" s="641" t="str">
        <f>재료집계표!I3</f>
        <v>○ 송수관로 누출</v>
      </c>
      <c r="E15" s="642">
        <f>재료집계표!I5</f>
        <v>30</v>
      </c>
      <c r="F15" s="643" t="str">
        <f>재료계산서!C60</f>
        <v>m</v>
      </c>
      <c r="G15" s="644"/>
      <c r="H15" s="642"/>
      <c r="I15" s="643"/>
      <c r="J15" s="646"/>
      <c r="K15" s="647"/>
      <c r="L15" s="639"/>
    </row>
    <row r="16" spans="1:14" s="424" customFormat="1" ht="17.45" customHeight="1">
      <c r="A16" s="1002"/>
      <c r="B16" s="639"/>
      <c r="C16" s="645" t="str">
        <f>재료집계표!J2</f>
        <v>화양리 1041-4</v>
      </c>
      <c r="D16" s="641" t="str">
        <f>재료집계표!J3</f>
        <v>○ 농로 파손</v>
      </c>
      <c r="E16" s="642">
        <f>재료집계표!J5</f>
        <v>5</v>
      </c>
      <c r="F16" s="643" t="str">
        <f>재료계산서!C66</f>
        <v>m</v>
      </c>
      <c r="G16" s="644"/>
      <c r="H16" s="642"/>
      <c r="I16" s="643"/>
      <c r="J16" s="646"/>
      <c r="K16" s="647"/>
      <c r="L16" s="639"/>
    </row>
    <row r="17" spans="1:13" s="424" customFormat="1" ht="17.45" customHeight="1">
      <c r="A17" s="1002"/>
      <c r="B17" s="639"/>
      <c r="C17" s="645"/>
      <c r="D17" s="641"/>
      <c r="E17" s="642"/>
      <c r="F17" s="643"/>
      <c r="G17" s="644"/>
      <c r="H17" s="642"/>
      <c r="I17" s="643"/>
      <c r="J17" s="646"/>
      <c r="K17" s="647"/>
      <c r="L17" s="639"/>
      <c r="M17" s="424">
        <f>N14/1.1</f>
        <v>19960000</v>
      </c>
    </row>
    <row r="18" spans="1:13" s="424" customFormat="1" ht="17.45" customHeight="1">
      <c r="A18" s="1002"/>
      <c r="B18" s="639"/>
      <c r="C18" s="645"/>
      <c r="D18" s="641"/>
      <c r="E18" s="642"/>
      <c r="F18" s="643"/>
      <c r="G18" s="644"/>
      <c r="H18" s="642"/>
      <c r="I18" s="648"/>
      <c r="J18" s="649"/>
      <c r="K18" s="650"/>
      <c r="L18" s="639"/>
    </row>
    <row r="19" spans="1:13" s="424" customFormat="1" ht="17.45" customHeight="1">
      <c r="A19" s="1003"/>
      <c r="B19" s="639"/>
      <c r="C19" s="645"/>
      <c r="D19" s="641"/>
      <c r="E19" s="642"/>
      <c r="F19" s="643"/>
      <c r="G19" s="644"/>
      <c r="H19" s="642"/>
      <c r="I19" s="648"/>
      <c r="J19" s="649"/>
      <c r="K19" s="650"/>
      <c r="L19" s="639"/>
      <c r="M19" s="424">
        <f>N14-M17</f>
        <v>1996000</v>
      </c>
    </row>
    <row r="20" spans="1:13" s="424" customFormat="1" ht="17.45" customHeight="1">
      <c r="A20" s="1002"/>
      <c r="B20" s="639"/>
      <c r="C20" s="645"/>
      <c r="D20" s="641"/>
      <c r="E20" s="642"/>
      <c r="F20" s="643"/>
      <c r="G20" s="644"/>
      <c r="H20" s="642"/>
      <c r="I20" s="648"/>
      <c r="J20" s="649"/>
      <c r="K20" s="650"/>
      <c r="L20" s="639"/>
    </row>
    <row r="21" spans="1:13" s="424" customFormat="1" ht="17.45" customHeight="1">
      <c r="A21" s="1002"/>
      <c r="B21" s="639"/>
      <c r="C21" s="761" t="s">
        <v>53</v>
      </c>
      <c r="D21" s="641" t="s">
        <v>1692</v>
      </c>
      <c r="E21" s="642">
        <f>SUM(E9:E15)</f>
        <v>150</v>
      </c>
      <c r="F21" s="643" t="s">
        <v>2111</v>
      </c>
      <c r="G21" s="643"/>
      <c r="H21" s="643"/>
      <c r="I21" s="648"/>
      <c r="J21" s="1000"/>
      <c r="K21" s="1000"/>
      <c r="L21" s="639"/>
    </row>
    <row r="22" spans="1:13" s="424" customFormat="1" ht="12.75" customHeight="1">
      <c r="A22" s="1004"/>
      <c r="B22" s="760"/>
      <c r="C22" s="635"/>
      <c r="D22" s="636"/>
      <c r="E22" s="1000"/>
      <c r="F22" s="1000"/>
      <c r="G22" s="634"/>
      <c r="H22" s="1000"/>
      <c r="I22" s="1000"/>
      <c r="J22" s="634"/>
      <c r="K22" s="634"/>
      <c r="L22" s="651"/>
    </row>
    <row r="23" spans="1:13" s="424" customFormat="1" ht="23.25" customHeight="1">
      <c r="A23" s="761" t="s">
        <v>1300</v>
      </c>
      <c r="B23" s="624"/>
      <c r="C23" s="767">
        <f>수지예산서!C22</f>
        <v>19793</v>
      </c>
      <c r="D23" s="652" t="s">
        <v>1876</v>
      </c>
      <c r="E23" s="633"/>
      <c r="F23" s="653"/>
      <c r="G23" s="624"/>
      <c r="H23" s="624"/>
      <c r="I23" s="624"/>
      <c r="J23" s="624"/>
      <c r="K23" s="624"/>
      <c r="L23" s="629"/>
    </row>
    <row r="24" spans="1:13" s="424" customFormat="1" ht="18" customHeight="1">
      <c r="A24" s="1011" t="s">
        <v>1301</v>
      </c>
      <c r="B24" s="634"/>
      <c r="C24" s="635" t="s">
        <v>2389</v>
      </c>
      <c r="D24" s="636"/>
      <c r="E24" s="637"/>
      <c r="F24" s="637"/>
      <c r="G24" s="634"/>
      <c r="H24" s="634"/>
      <c r="I24" s="634"/>
      <c r="J24" s="634"/>
      <c r="K24" s="634"/>
      <c r="L24" s="638"/>
    </row>
    <row r="25" spans="1:13" s="424" customFormat="1" ht="18" customHeight="1">
      <c r="A25" s="1011"/>
      <c r="B25" s="654"/>
      <c r="C25" s="655" t="s">
        <v>2390</v>
      </c>
      <c r="D25" s="656"/>
      <c r="E25" s="657"/>
      <c r="F25" s="657"/>
      <c r="G25" s="654"/>
      <c r="H25" s="654"/>
      <c r="I25" s="654"/>
      <c r="J25" s="654"/>
      <c r="K25" s="654"/>
      <c r="L25" s="658"/>
    </row>
    <row r="26" spans="1:13" s="424" customFormat="1" ht="21" customHeight="1">
      <c r="A26" s="761" t="s">
        <v>2391</v>
      </c>
      <c r="B26" s="624"/>
      <c r="C26" s="627" t="s">
        <v>2550</v>
      </c>
      <c r="D26" s="659"/>
      <c r="E26" s="633"/>
      <c r="F26" s="633"/>
      <c r="G26" s="624"/>
      <c r="H26" s="624"/>
      <c r="I26" s="624"/>
      <c r="J26" s="624"/>
      <c r="K26" s="624"/>
      <c r="L26" s="629"/>
    </row>
    <row r="27" spans="1:13" s="424" customFormat="1" ht="15.75" customHeight="1">
      <c r="A27" s="1011" t="s">
        <v>1302</v>
      </c>
      <c r="B27" s="634"/>
      <c r="C27" s="1012" t="s">
        <v>2698</v>
      </c>
      <c r="D27" s="1012"/>
      <c r="E27" s="1012"/>
      <c r="F27" s="1012"/>
      <c r="G27" s="1012"/>
      <c r="H27" s="1012"/>
      <c r="I27" s="1012"/>
      <c r="J27" s="1012"/>
      <c r="K27" s="1012"/>
      <c r="L27" s="1013"/>
    </row>
    <row r="28" spans="1:13" s="412" customFormat="1" ht="15.75" customHeight="1">
      <c r="A28" s="1011"/>
      <c r="B28" s="766"/>
      <c r="C28" s="1014" t="s">
        <v>2697</v>
      </c>
      <c r="D28" s="1014"/>
      <c r="E28" s="1014"/>
      <c r="F28" s="1014"/>
      <c r="G28" s="1014"/>
      <c r="H28" s="1014"/>
      <c r="I28" s="1014"/>
      <c r="J28" s="1014"/>
      <c r="K28" s="1014"/>
      <c r="L28" s="1015"/>
    </row>
    <row r="29" spans="1:13" s="425" customFormat="1" ht="36" customHeight="1"/>
    <row r="30" spans="1:13" ht="36" customHeight="1"/>
    <row r="31" spans="1:13" ht="36" customHeight="1"/>
    <row r="32" spans="1:13" ht="36" customHeight="1"/>
    <row r="33" ht="36" customHeight="1"/>
    <row r="34" ht="36" customHeight="1"/>
    <row r="35" ht="36" customHeight="1"/>
    <row r="36" ht="36" customHeight="1"/>
    <row r="37" ht="36" customHeight="1"/>
    <row r="38" ht="36" customHeight="1"/>
    <row r="39" ht="36" customHeight="1"/>
    <row r="40" ht="36" customHeight="1"/>
    <row r="41" ht="36" customHeight="1"/>
    <row r="42" ht="36" customHeight="1"/>
    <row r="43" ht="36" customHeight="1"/>
    <row r="44" ht="36" customHeight="1"/>
    <row r="45" ht="36" customHeight="1"/>
    <row r="46" ht="36" customHeight="1"/>
  </sheetData>
  <mergeCells count="17">
    <mergeCell ref="A27:A28"/>
    <mergeCell ref="C27:L27"/>
    <mergeCell ref="C28:L28"/>
    <mergeCell ref="A24:A25"/>
    <mergeCell ref="A1:L1"/>
    <mergeCell ref="I3:K3"/>
    <mergeCell ref="A7:A22"/>
    <mergeCell ref="J8:K8"/>
    <mergeCell ref="J21:K21"/>
    <mergeCell ref="E22:F22"/>
    <mergeCell ref="J9:K9"/>
    <mergeCell ref="J10:K10"/>
    <mergeCell ref="J13:K13"/>
    <mergeCell ref="H22:I22"/>
    <mergeCell ref="J12:K12"/>
    <mergeCell ref="D8:I8"/>
    <mergeCell ref="J11:K11"/>
  </mergeCells>
  <phoneticPr fontId="3" type="noConversion"/>
  <printOptions horizontalCentered="1"/>
  <pageMargins left="0.55118110236220474" right="0.47244094488188981" top="0.77" bottom="0.38" header="0.51181102362204722" footer="0.36"/>
  <pageSetup paperSize="9" scale="9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95"/>
  <sheetViews>
    <sheetView view="pageBreakPreview" topLeftCell="A33" zoomScale="55" zoomScaleNormal="100" zoomScaleSheetLayoutView="55" workbookViewId="0">
      <selection activeCell="Q80" sqref="Q80"/>
    </sheetView>
  </sheetViews>
  <sheetFormatPr defaultColWidth="8.88671875" defaultRowHeight="13.5"/>
  <cols>
    <col min="1" max="9" width="10.77734375" style="423" customWidth="1"/>
    <col min="10" max="10" width="11.6640625" style="423" customWidth="1"/>
    <col min="11" max="11" width="8.88671875" style="423" customWidth="1"/>
    <col min="12" max="12" width="10.33203125" style="423" customWidth="1"/>
    <col min="13" max="16384" width="8.88671875" style="423"/>
  </cols>
  <sheetData>
    <row r="1" spans="1:10" ht="30" customHeight="1">
      <c r="A1" s="1016" t="str">
        <f>사업개요!C3</f>
        <v>2026년 금정용수지선 외 6개소 보수보강 공사</v>
      </c>
      <c r="B1" s="1016"/>
      <c r="C1" s="1016"/>
      <c r="D1" s="1016"/>
      <c r="E1" s="1016"/>
      <c r="F1" s="1016"/>
      <c r="G1" s="1016"/>
      <c r="H1" s="1016"/>
      <c r="I1" s="1016"/>
      <c r="J1" s="1016"/>
    </row>
    <row r="2" spans="1:10" ht="12.75" customHeight="1" thickBot="1">
      <c r="A2" s="488" t="s">
        <v>1692</v>
      </c>
      <c r="G2" s="1017"/>
      <c r="H2" s="1017"/>
      <c r="I2" s="1017"/>
      <c r="J2" s="1017"/>
    </row>
    <row r="3" spans="1:10" s="407" customFormat="1" ht="17.25" customHeight="1">
      <c r="A3" s="755" t="s">
        <v>2758</v>
      </c>
      <c r="B3" s="931"/>
      <c r="C3" s="754"/>
      <c r="D3" s="754"/>
      <c r="E3" s="754"/>
      <c r="F3" s="929"/>
      <c r="G3" s="754"/>
      <c r="H3" s="754"/>
      <c r="I3" s="754"/>
      <c r="J3" s="759"/>
    </row>
    <row r="4" spans="1:10" ht="17.25" customHeight="1">
      <c r="A4" s="756"/>
      <c r="B4" s="757"/>
      <c r="C4" s="757"/>
      <c r="D4" s="757"/>
      <c r="E4" s="757"/>
      <c r="F4" s="809"/>
      <c r="G4" s="757"/>
      <c r="H4" s="757"/>
      <c r="I4" s="757"/>
      <c r="J4" s="758"/>
    </row>
    <row r="5" spans="1:10" ht="17.25" customHeight="1">
      <c r="A5" s="429"/>
      <c r="B5" s="434"/>
      <c r="C5" s="434"/>
      <c r="D5" s="434"/>
      <c r="E5" s="434"/>
      <c r="F5" s="810"/>
      <c r="G5" s="434"/>
      <c r="H5" s="434"/>
      <c r="I5" s="434"/>
      <c r="J5" s="430"/>
    </row>
    <row r="6" spans="1:10" ht="17.25" customHeight="1">
      <c r="A6" s="429"/>
      <c r="B6" s="434"/>
      <c r="C6" s="434"/>
      <c r="D6" s="434"/>
      <c r="E6" s="434"/>
      <c r="F6" s="810"/>
      <c r="G6" s="434"/>
      <c r="H6" s="434"/>
      <c r="I6" s="434"/>
      <c r="J6" s="430"/>
    </row>
    <row r="7" spans="1:10" ht="17.25" customHeight="1">
      <c r="A7" s="429"/>
      <c r="B7" s="461"/>
      <c r="C7" s="461"/>
      <c r="D7" s="461"/>
      <c r="E7" s="461"/>
      <c r="F7" s="811"/>
      <c r="G7" s="461"/>
      <c r="H7" s="461"/>
      <c r="I7" s="461"/>
      <c r="J7" s="430"/>
    </row>
    <row r="8" spans="1:10" ht="17.25" customHeight="1">
      <c r="A8" s="429"/>
      <c r="C8" s="407"/>
      <c r="D8" s="407"/>
      <c r="E8" s="407"/>
      <c r="F8" s="812"/>
      <c r="G8" s="407"/>
      <c r="H8" s="407"/>
      <c r="J8" s="430"/>
    </row>
    <row r="9" spans="1:10" ht="17.25" customHeight="1">
      <c r="A9" s="429"/>
      <c r="C9" s="407"/>
      <c r="D9" s="407"/>
      <c r="E9" s="407"/>
      <c r="F9" s="812"/>
      <c r="G9" s="407"/>
      <c r="H9" s="407"/>
      <c r="J9" s="430"/>
    </row>
    <row r="10" spans="1:10" ht="17.25" customHeight="1">
      <c r="A10" s="429"/>
      <c r="C10" s="407"/>
      <c r="D10" s="407"/>
      <c r="E10" s="407"/>
      <c r="F10" s="812"/>
      <c r="G10" s="407"/>
      <c r="H10" s="407"/>
      <c r="J10" s="430"/>
    </row>
    <row r="11" spans="1:10" ht="17.25" customHeight="1">
      <c r="A11" s="429"/>
      <c r="C11" s="407"/>
      <c r="D11" s="407"/>
      <c r="E11" s="407"/>
      <c r="F11" s="812"/>
      <c r="G11" s="407"/>
      <c r="H11" s="407"/>
      <c r="J11" s="430"/>
    </row>
    <row r="12" spans="1:10" ht="17.25" customHeight="1">
      <c r="A12" s="429"/>
      <c r="C12" s="407"/>
      <c r="D12" s="407"/>
      <c r="E12" s="407"/>
      <c r="F12" s="812"/>
      <c r="G12" s="407"/>
      <c r="H12" s="407"/>
      <c r="J12" s="430"/>
    </row>
    <row r="13" spans="1:10" ht="17.25" customHeight="1">
      <c r="A13" s="429"/>
      <c r="C13" s="407"/>
      <c r="D13" s="407"/>
      <c r="E13" s="407"/>
      <c r="F13" s="812"/>
      <c r="G13" s="407"/>
      <c r="H13" s="407"/>
      <c r="J13" s="430"/>
    </row>
    <row r="14" spans="1:10" ht="17.25" customHeight="1">
      <c r="A14" s="429"/>
      <c r="C14" s="407"/>
      <c r="D14" s="407"/>
      <c r="E14" s="407"/>
      <c r="F14" s="812"/>
      <c r="G14" s="407"/>
      <c r="H14" s="407"/>
      <c r="J14" s="430"/>
    </row>
    <row r="15" spans="1:10" ht="17.25" customHeight="1">
      <c r="A15" s="429"/>
      <c r="C15" s="407"/>
      <c r="D15" s="407"/>
      <c r="E15" s="407"/>
      <c r="F15" s="812"/>
      <c r="G15" s="407"/>
      <c r="H15" s="407"/>
      <c r="J15" s="430"/>
    </row>
    <row r="16" spans="1:10" ht="17.25" customHeight="1">
      <c r="A16" s="429"/>
      <c r="C16" s="407"/>
      <c r="D16" s="407"/>
      <c r="E16" s="407"/>
      <c r="F16" s="812"/>
      <c r="G16" s="407"/>
      <c r="H16" s="407"/>
      <c r="J16" s="430"/>
    </row>
    <row r="17" spans="1:10" ht="17.25" customHeight="1">
      <c r="A17" s="883"/>
      <c r="C17" s="407"/>
      <c r="D17" s="407"/>
      <c r="E17" s="884"/>
      <c r="F17" s="812"/>
      <c r="G17" s="407"/>
      <c r="H17" s="407"/>
      <c r="J17" s="430"/>
    </row>
    <row r="18" spans="1:10" ht="17.25" customHeight="1">
      <c r="A18" s="429"/>
      <c r="C18" s="407"/>
      <c r="D18" s="407"/>
      <c r="E18" s="407"/>
      <c r="F18" s="812"/>
      <c r="G18" s="407"/>
      <c r="H18" s="407"/>
      <c r="J18" s="430"/>
    </row>
    <row r="19" spans="1:10" ht="17.25" customHeight="1">
      <c r="A19" s="429"/>
      <c r="C19" s="407"/>
      <c r="D19" s="407"/>
      <c r="E19" s="407"/>
      <c r="F19" s="812"/>
      <c r="G19" s="407"/>
      <c r="H19" s="407"/>
      <c r="J19" s="430"/>
    </row>
    <row r="20" spans="1:10" ht="17.25" customHeight="1">
      <c r="A20" s="429"/>
      <c r="C20" s="407"/>
      <c r="D20" s="407"/>
      <c r="E20" s="407"/>
      <c r="F20" s="812"/>
      <c r="G20" s="407"/>
      <c r="H20" s="407"/>
      <c r="J20" s="430"/>
    </row>
    <row r="21" spans="1:10" ht="17.25" customHeight="1">
      <c r="A21" s="429"/>
      <c r="C21" s="407"/>
      <c r="D21" s="407"/>
      <c r="E21" s="407"/>
      <c r="F21" s="812"/>
      <c r="G21" s="407"/>
      <c r="H21" s="407"/>
      <c r="J21" s="430"/>
    </row>
    <row r="22" spans="1:10" ht="17.25" customHeight="1">
      <c r="A22" s="429"/>
      <c r="C22" s="407"/>
      <c r="D22" s="407"/>
      <c r="E22" s="407"/>
      <c r="F22" s="812"/>
      <c r="G22" s="407"/>
      <c r="H22" s="407"/>
      <c r="J22" s="430"/>
    </row>
    <row r="23" spans="1:10" ht="17.25" customHeight="1">
      <c r="A23" s="429"/>
      <c r="C23" s="407"/>
      <c r="D23" s="407"/>
      <c r="E23" s="407"/>
      <c r="F23" s="812"/>
      <c r="G23" s="407"/>
      <c r="H23" s="407"/>
      <c r="J23" s="430"/>
    </row>
    <row r="24" spans="1:10" ht="17.25" customHeight="1">
      <c r="A24" s="429"/>
      <c r="C24" s="407"/>
      <c r="D24" s="407"/>
      <c r="E24" s="407"/>
      <c r="F24" s="812"/>
      <c r="G24" s="407"/>
      <c r="H24" s="407"/>
      <c r="J24" s="430"/>
    </row>
    <row r="25" spans="1:10" ht="17.25" customHeight="1">
      <c r="A25" s="429"/>
      <c r="C25" s="407"/>
      <c r="D25" s="407"/>
      <c r="E25" s="407"/>
      <c r="F25" s="812"/>
      <c r="G25" s="407"/>
      <c r="H25" s="407"/>
      <c r="J25" s="430"/>
    </row>
    <row r="26" spans="1:10" ht="17.25" customHeight="1">
      <c r="A26" s="429"/>
      <c r="C26" s="407"/>
      <c r="D26" s="407"/>
      <c r="E26" s="407"/>
      <c r="F26" s="812"/>
      <c r="G26" s="407"/>
      <c r="H26" s="407"/>
      <c r="J26" s="430"/>
    </row>
    <row r="27" spans="1:10" ht="17.25" customHeight="1">
      <c r="A27" s="429"/>
      <c r="C27" s="407"/>
      <c r="D27" s="407"/>
      <c r="E27" s="407"/>
      <c r="F27" s="812"/>
      <c r="G27" s="407"/>
      <c r="H27" s="407"/>
      <c r="J27" s="430"/>
    </row>
    <row r="28" spans="1:10" ht="17.25" customHeight="1">
      <c r="A28" s="429"/>
      <c r="C28" s="407"/>
      <c r="D28" s="407"/>
      <c r="E28" s="407"/>
      <c r="F28" s="812"/>
      <c r="G28" s="407"/>
      <c r="H28" s="407"/>
      <c r="J28" s="430"/>
    </row>
    <row r="29" spans="1:10" ht="17.25" customHeight="1">
      <c r="A29" s="429"/>
      <c r="F29" s="813"/>
      <c r="J29" s="430"/>
    </row>
    <row r="30" spans="1:10" ht="17.25" customHeight="1" thickBot="1">
      <c r="A30" s="621"/>
      <c r="B30" s="622"/>
      <c r="C30" s="622"/>
      <c r="D30" s="622"/>
      <c r="E30" s="622"/>
      <c r="F30" s="814"/>
      <c r="G30" s="622"/>
      <c r="H30" s="622"/>
      <c r="I30" s="622"/>
      <c r="J30" s="623"/>
    </row>
    <row r="31" spans="1:10">
      <c r="A31" s="1018" t="s">
        <v>2759</v>
      </c>
      <c r="B31" s="1019"/>
      <c r="C31" s="1019"/>
      <c r="D31" s="1019"/>
      <c r="E31" s="1019"/>
      <c r="F31" s="1018" t="s">
        <v>2762</v>
      </c>
      <c r="G31" s="1019"/>
      <c r="H31" s="1019"/>
      <c r="I31" s="1019"/>
      <c r="J31" s="1019"/>
    </row>
    <row r="32" spans="1:10">
      <c r="A32" s="756"/>
      <c r="B32" s="757"/>
      <c r="C32" s="757"/>
      <c r="D32" s="757"/>
      <c r="E32" s="757"/>
      <c r="F32" s="809"/>
      <c r="G32" s="757"/>
      <c r="H32" s="757"/>
      <c r="I32" s="757"/>
      <c r="J32" s="758"/>
    </row>
    <row r="33" spans="1:10" ht="20.25">
      <c r="A33" s="429"/>
      <c r="B33" s="434"/>
      <c r="C33" s="434"/>
      <c r="D33" s="434"/>
      <c r="E33" s="434"/>
      <c r="F33" s="810"/>
      <c r="G33" s="434"/>
      <c r="H33" s="434"/>
      <c r="I33" s="434"/>
      <c r="J33" s="430"/>
    </row>
    <row r="34" spans="1:10" ht="20.25">
      <c r="A34" s="429"/>
      <c r="B34" s="434"/>
      <c r="C34" s="434"/>
      <c r="D34" s="434"/>
      <c r="E34" s="434"/>
      <c r="F34" s="810"/>
      <c r="G34" s="434"/>
      <c r="H34" s="434"/>
      <c r="I34" s="434"/>
      <c r="J34" s="430"/>
    </row>
    <row r="35" spans="1:10">
      <c r="A35" s="429"/>
      <c r="B35" s="461"/>
      <c r="C35" s="461"/>
      <c r="D35" s="461"/>
      <c r="E35" s="461"/>
      <c r="F35" s="811"/>
      <c r="G35" s="461"/>
      <c r="H35" s="461"/>
      <c r="I35" s="461"/>
      <c r="J35" s="430"/>
    </row>
    <row r="36" spans="1:10">
      <c r="A36" s="429"/>
      <c r="C36" s="407"/>
      <c r="D36" s="407"/>
      <c r="E36" s="407"/>
      <c r="F36" s="812"/>
      <c r="G36" s="407"/>
      <c r="H36" s="407"/>
      <c r="J36" s="430"/>
    </row>
    <row r="37" spans="1:10">
      <c r="A37" s="429"/>
      <c r="C37" s="407"/>
      <c r="D37" s="407"/>
      <c r="E37" s="407"/>
      <c r="F37" s="812"/>
      <c r="G37" s="407"/>
      <c r="H37" s="407"/>
      <c r="J37" s="430"/>
    </row>
    <row r="38" spans="1:10">
      <c r="A38" s="429"/>
      <c r="C38" s="407"/>
      <c r="D38" s="407"/>
      <c r="E38" s="407"/>
      <c r="F38" s="812"/>
      <c r="G38" s="407"/>
      <c r="H38" s="407"/>
      <c r="J38" s="430"/>
    </row>
    <row r="39" spans="1:10">
      <c r="A39" s="429"/>
      <c r="C39" s="407"/>
      <c r="D39" s="407"/>
      <c r="E39" s="407"/>
      <c r="F39" s="812"/>
      <c r="G39" s="407"/>
      <c r="H39" s="407"/>
      <c r="J39" s="430"/>
    </row>
    <row r="40" spans="1:10">
      <c r="A40" s="429"/>
      <c r="C40" s="407"/>
      <c r="D40" s="407"/>
      <c r="E40" s="407"/>
      <c r="F40" s="812"/>
      <c r="G40" s="407"/>
      <c r="H40" s="407"/>
      <c r="J40" s="430"/>
    </row>
    <row r="41" spans="1:10">
      <c r="A41" s="429"/>
      <c r="C41" s="407"/>
      <c r="D41" s="407"/>
      <c r="E41" s="407"/>
      <c r="F41" s="812"/>
      <c r="G41" s="407"/>
      <c r="H41" s="407"/>
      <c r="J41" s="430"/>
    </row>
    <row r="42" spans="1:10">
      <c r="A42" s="429"/>
      <c r="C42" s="407"/>
      <c r="D42" s="407"/>
      <c r="E42" s="407"/>
      <c r="F42" s="812"/>
      <c r="G42" s="407"/>
      <c r="H42" s="407"/>
      <c r="J42" s="430"/>
    </row>
    <row r="43" spans="1:10">
      <c r="A43" s="429"/>
      <c r="C43" s="407"/>
      <c r="D43" s="407"/>
      <c r="E43" s="407"/>
      <c r="F43" s="812"/>
      <c r="G43" s="407"/>
      <c r="H43" s="407"/>
      <c r="J43" s="430"/>
    </row>
    <row r="44" spans="1:10">
      <c r="A44" s="429"/>
      <c r="C44" s="407"/>
      <c r="D44" s="407"/>
      <c r="E44" s="407"/>
      <c r="F44" s="812"/>
      <c r="G44" s="407"/>
      <c r="H44" s="407"/>
      <c r="J44" s="430"/>
    </row>
    <row r="45" spans="1:10">
      <c r="A45" s="883"/>
      <c r="C45" s="407"/>
      <c r="D45" s="407"/>
      <c r="E45" s="884"/>
      <c r="F45" s="812"/>
      <c r="G45" s="407"/>
      <c r="H45" s="407"/>
      <c r="J45" s="430"/>
    </row>
    <row r="46" spans="1:10">
      <c r="A46" s="429"/>
      <c r="C46" s="407"/>
      <c r="D46" s="407"/>
      <c r="E46" s="407"/>
      <c r="F46" s="812"/>
      <c r="G46" s="407"/>
      <c r="H46" s="407"/>
      <c r="J46" s="430"/>
    </row>
    <row r="47" spans="1:10">
      <c r="A47" s="429"/>
      <c r="C47" s="407"/>
      <c r="D47" s="407"/>
      <c r="E47" s="407"/>
      <c r="F47" s="812"/>
      <c r="G47" s="407"/>
      <c r="H47" s="407"/>
      <c r="J47" s="430"/>
    </row>
    <row r="48" spans="1:10">
      <c r="A48" s="429"/>
      <c r="C48" s="407"/>
      <c r="D48" s="407"/>
      <c r="E48" s="407"/>
      <c r="F48" s="812"/>
      <c r="G48" s="407"/>
      <c r="H48" s="407"/>
      <c r="J48" s="430"/>
    </row>
    <row r="49" spans="1:10">
      <c r="A49" s="429"/>
      <c r="C49" s="407"/>
      <c r="D49" s="407"/>
      <c r="E49" s="407"/>
      <c r="F49" s="812"/>
      <c r="G49" s="407"/>
      <c r="H49" s="407"/>
      <c r="J49" s="430"/>
    </row>
    <row r="50" spans="1:10">
      <c r="A50" s="429"/>
      <c r="C50" s="407"/>
      <c r="D50" s="407"/>
      <c r="E50" s="407"/>
      <c r="F50" s="812"/>
      <c r="G50" s="407"/>
      <c r="H50" s="407"/>
      <c r="J50" s="430"/>
    </row>
    <row r="51" spans="1:10" ht="14.25" thickBot="1">
      <c r="A51" s="621"/>
      <c r="B51" s="622"/>
      <c r="C51" s="622"/>
      <c r="D51" s="622"/>
      <c r="E51" s="622"/>
      <c r="F51" s="814"/>
      <c r="G51" s="622"/>
      <c r="H51" s="622"/>
      <c r="I51" s="622"/>
      <c r="J51" s="623"/>
    </row>
    <row r="52" spans="1:10">
      <c r="A52" s="1018" t="s">
        <v>2760</v>
      </c>
      <c r="B52" s="1019"/>
      <c r="C52" s="1019"/>
      <c r="D52" s="1019"/>
      <c r="E52" s="1019"/>
      <c r="F52" s="1018" t="s">
        <v>2761</v>
      </c>
      <c r="G52" s="1019"/>
      <c r="H52" s="1019"/>
      <c r="I52" s="1019"/>
      <c r="J52" s="1019"/>
    </row>
    <row r="53" spans="1:10">
      <c r="A53" s="756"/>
      <c r="B53" s="757"/>
      <c r="C53" s="757"/>
      <c r="D53" s="757"/>
      <c r="E53" s="757"/>
      <c r="F53" s="809"/>
      <c r="G53" s="757"/>
      <c r="H53" s="757"/>
      <c r="I53" s="757"/>
      <c r="J53" s="758"/>
    </row>
    <row r="54" spans="1:10" ht="20.25">
      <c r="A54" s="429"/>
      <c r="B54" s="434"/>
      <c r="C54" s="434"/>
      <c r="D54" s="434"/>
      <c r="E54" s="434"/>
      <c r="F54" s="810"/>
      <c r="G54" s="434"/>
      <c r="H54" s="434"/>
      <c r="I54" s="434"/>
      <c r="J54" s="430"/>
    </row>
    <row r="55" spans="1:10" ht="20.25">
      <c r="A55" s="429"/>
      <c r="B55" s="434"/>
      <c r="C55" s="434"/>
      <c r="D55" s="434"/>
      <c r="E55" s="434"/>
      <c r="F55" s="810"/>
      <c r="G55" s="434"/>
      <c r="H55" s="434"/>
      <c r="I55" s="434"/>
      <c r="J55" s="430"/>
    </row>
    <row r="56" spans="1:10">
      <c r="A56" s="429"/>
      <c r="B56" s="461"/>
      <c r="C56" s="461"/>
      <c r="D56" s="461"/>
      <c r="E56" s="461"/>
      <c r="F56" s="811"/>
      <c r="G56" s="461"/>
      <c r="H56" s="461"/>
      <c r="I56" s="461"/>
      <c r="J56" s="430"/>
    </row>
    <row r="57" spans="1:10">
      <c r="A57" s="429"/>
      <c r="C57" s="407"/>
      <c r="D57" s="407"/>
      <c r="E57" s="407"/>
      <c r="F57" s="812"/>
      <c r="G57" s="407"/>
      <c r="H57" s="407"/>
      <c r="J57" s="430"/>
    </row>
    <row r="58" spans="1:10">
      <c r="A58" s="429"/>
      <c r="C58" s="407"/>
      <c r="D58" s="407"/>
      <c r="E58" s="407"/>
      <c r="F58" s="812"/>
      <c r="G58" s="407"/>
      <c r="H58" s="407"/>
      <c r="J58" s="430"/>
    </row>
    <row r="59" spans="1:10">
      <c r="A59" s="429"/>
      <c r="C59" s="407"/>
      <c r="D59" s="407"/>
      <c r="E59" s="407"/>
      <c r="F59" s="812"/>
      <c r="G59" s="407"/>
      <c r="H59" s="407"/>
      <c r="J59" s="430"/>
    </row>
    <row r="60" spans="1:10">
      <c r="A60" s="429"/>
      <c r="C60" s="407"/>
      <c r="D60" s="407"/>
      <c r="E60" s="407"/>
      <c r="F60" s="812"/>
      <c r="G60" s="407"/>
      <c r="H60" s="407"/>
      <c r="J60" s="430"/>
    </row>
    <row r="61" spans="1:10">
      <c r="A61" s="429"/>
      <c r="C61" s="407"/>
      <c r="D61" s="407"/>
      <c r="E61" s="407"/>
      <c r="F61" s="812"/>
      <c r="G61" s="407"/>
      <c r="H61" s="407"/>
      <c r="J61" s="430"/>
    </row>
    <row r="62" spans="1:10">
      <c r="A62" s="429"/>
      <c r="C62" s="407"/>
      <c r="D62" s="407"/>
      <c r="E62" s="407"/>
      <c r="F62" s="812"/>
      <c r="G62" s="407"/>
      <c r="H62" s="407"/>
      <c r="J62" s="430"/>
    </row>
    <row r="63" spans="1:10">
      <c r="A63" s="429"/>
      <c r="C63" s="407"/>
      <c r="D63" s="407"/>
      <c r="E63" s="407"/>
      <c r="F63" s="812"/>
      <c r="G63" s="407"/>
      <c r="H63" s="407"/>
      <c r="J63" s="430"/>
    </row>
    <row r="64" spans="1:10">
      <c r="A64" s="429"/>
      <c r="C64" s="407"/>
      <c r="D64" s="407"/>
      <c r="E64" s="407"/>
      <c r="F64" s="812"/>
      <c r="G64" s="407"/>
      <c r="H64" s="407"/>
      <c r="J64" s="430"/>
    </row>
    <row r="65" spans="1:10">
      <c r="A65" s="429"/>
      <c r="C65" s="407"/>
      <c r="D65" s="407"/>
      <c r="E65" s="407"/>
      <c r="F65" s="812"/>
      <c r="G65" s="407"/>
      <c r="H65" s="407"/>
      <c r="J65" s="430"/>
    </row>
    <row r="66" spans="1:10">
      <c r="A66" s="883"/>
      <c r="C66" s="407"/>
      <c r="D66" s="407"/>
      <c r="E66" s="884"/>
      <c r="F66" s="812"/>
      <c r="G66" s="407"/>
      <c r="H66" s="407"/>
      <c r="J66" s="430"/>
    </row>
    <row r="67" spans="1:10">
      <c r="A67" s="429"/>
      <c r="C67" s="407"/>
      <c r="D67" s="407"/>
      <c r="E67" s="407"/>
      <c r="F67" s="812"/>
      <c r="G67" s="407"/>
      <c r="H67" s="407"/>
      <c r="J67" s="430"/>
    </row>
    <row r="68" spans="1:10">
      <c r="A68" s="429"/>
      <c r="C68" s="407"/>
      <c r="D68" s="407"/>
      <c r="E68" s="407"/>
      <c r="F68" s="812"/>
      <c r="G68" s="407"/>
      <c r="H68" s="407"/>
      <c r="J68" s="430"/>
    </row>
    <row r="69" spans="1:10">
      <c r="A69" s="429"/>
      <c r="C69" s="407"/>
      <c r="D69" s="407"/>
      <c r="E69" s="407"/>
      <c r="F69" s="812"/>
      <c r="G69" s="407"/>
      <c r="H69" s="407"/>
      <c r="J69" s="430"/>
    </row>
    <row r="70" spans="1:10">
      <c r="A70" s="429"/>
      <c r="C70" s="407"/>
      <c r="D70" s="407"/>
      <c r="E70" s="407"/>
      <c r="F70" s="812"/>
      <c r="G70" s="407"/>
      <c r="H70" s="407"/>
      <c r="J70" s="430"/>
    </row>
    <row r="71" spans="1:10">
      <c r="A71" s="429"/>
      <c r="C71" s="407"/>
      <c r="D71" s="407"/>
      <c r="E71" s="407"/>
      <c r="F71" s="812"/>
      <c r="G71" s="407"/>
      <c r="H71" s="407"/>
      <c r="J71" s="430"/>
    </row>
    <row r="72" spans="1:10" ht="14.25" thickBot="1">
      <c r="A72" s="429"/>
      <c r="C72" s="407"/>
      <c r="D72" s="407"/>
      <c r="E72" s="407"/>
      <c r="F72" s="812"/>
      <c r="G72" s="407"/>
      <c r="H72" s="407"/>
      <c r="J72" s="430"/>
    </row>
    <row r="73" spans="1:10">
      <c r="A73" s="755" t="s">
        <v>2763</v>
      </c>
      <c r="B73" s="931"/>
      <c r="C73" s="754"/>
      <c r="D73" s="754"/>
      <c r="E73" s="754"/>
      <c r="F73" s="755" t="s">
        <v>2764</v>
      </c>
      <c r="G73" s="754"/>
      <c r="H73" s="754"/>
      <c r="I73" s="754"/>
      <c r="J73" s="759"/>
    </row>
    <row r="74" spans="1:10">
      <c r="A74" s="756"/>
      <c r="B74" s="757"/>
      <c r="C74" s="757"/>
      <c r="D74" s="757"/>
      <c r="E74" s="757"/>
      <c r="F74" s="809"/>
      <c r="G74" s="757"/>
      <c r="H74" s="757"/>
      <c r="I74" s="757"/>
      <c r="J74" s="758"/>
    </row>
    <row r="75" spans="1:10" ht="20.25">
      <c r="A75" s="429"/>
      <c r="B75" s="434"/>
      <c r="C75" s="434"/>
      <c r="D75" s="434"/>
      <c r="E75" s="434"/>
      <c r="F75" s="810"/>
      <c r="G75" s="434"/>
      <c r="H75" s="434"/>
      <c r="I75" s="434"/>
      <c r="J75" s="430"/>
    </row>
    <row r="76" spans="1:10" ht="20.25">
      <c r="A76" s="429"/>
      <c r="B76" s="434"/>
      <c r="C76" s="434"/>
      <c r="D76" s="434"/>
      <c r="E76" s="434"/>
      <c r="F76" s="810"/>
      <c r="G76" s="434"/>
      <c r="H76" s="434"/>
      <c r="I76" s="434"/>
      <c r="J76" s="430"/>
    </row>
    <row r="77" spans="1:10">
      <c r="A77" s="429"/>
      <c r="B77" s="461"/>
      <c r="C77" s="461"/>
      <c r="D77" s="461"/>
      <c r="E77" s="461"/>
      <c r="F77" s="811"/>
      <c r="G77" s="461"/>
      <c r="H77" s="461"/>
      <c r="I77" s="461"/>
      <c r="J77" s="430"/>
    </row>
    <row r="78" spans="1:10">
      <c r="A78" s="429"/>
      <c r="C78" s="407"/>
      <c r="D78" s="407"/>
      <c r="E78" s="407"/>
      <c r="F78" s="812"/>
      <c r="G78" s="407"/>
      <c r="H78" s="407"/>
      <c r="J78" s="430"/>
    </row>
    <row r="79" spans="1:10">
      <c r="A79" s="429"/>
      <c r="C79" s="407"/>
      <c r="D79" s="407"/>
      <c r="E79" s="407"/>
      <c r="F79" s="812"/>
      <c r="G79" s="407"/>
      <c r="H79" s="407"/>
      <c r="J79" s="430"/>
    </row>
    <row r="80" spans="1:10">
      <c r="A80" s="429"/>
      <c r="C80" s="407"/>
      <c r="D80" s="407"/>
      <c r="E80" s="407"/>
      <c r="F80" s="812"/>
      <c r="G80" s="407"/>
      <c r="H80" s="407"/>
      <c r="J80" s="430"/>
    </row>
    <row r="81" spans="1:10">
      <c r="A81" s="429"/>
      <c r="C81" s="407"/>
      <c r="D81" s="407"/>
      <c r="E81" s="407"/>
      <c r="F81" s="812"/>
      <c r="G81" s="407"/>
      <c r="H81" s="407"/>
      <c r="J81" s="430"/>
    </row>
    <row r="82" spans="1:10">
      <c r="A82" s="429"/>
      <c r="C82" s="407"/>
      <c r="D82" s="407"/>
      <c r="E82" s="407"/>
      <c r="F82" s="812"/>
      <c r="G82" s="407"/>
      <c r="H82" s="407"/>
      <c r="J82" s="430"/>
    </row>
    <row r="83" spans="1:10">
      <c r="A83" s="429"/>
      <c r="C83" s="407"/>
      <c r="D83" s="407"/>
      <c r="E83" s="407"/>
      <c r="F83" s="812"/>
      <c r="G83" s="407"/>
      <c r="H83" s="407"/>
      <c r="J83" s="430"/>
    </row>
    <row r="84" spans="1:10">
      <c r="A84" s="429"/>
      <c r="C84" s="407"/>
      <c r="D84" s="407"/>
      <c r="E84" s="407"/>
      <c r="F84" s="812"/>
      <c r="G84" s="407"/>
      <c r="H84" s="407"/>
      <c r="J84" s="430"/>
    </row>
    <row r="85" spans="1:10">
      <c r="A85" s="429"/>
      <c r="C85" s="407"/>
      <c r="D85" s="407"/>
      <c r="E85" s="407"/>
      <c r="F85" s="812"/>
      <c r="G85" s="407"/>
      <c r="H85" s="407"/>
      <c r="J85" s="430"/>
    </row>
    <row r="86" spans="1:10">
      <c r="A86" s="429"/>
      <c r="C86" s="407"/>
      <c r="D86" s="407"/>
      <c r="E86" s="407"/>
      <c r="F86" s="812"/>
      <c r="G86" s="407"/>
      <c r="H86" s="407"/>
      <c r="J86" s="430"/>
    </row>
    <row r="87" spans="1:10">
      <c r="A87" s="883"/>
      <c r="C87" s="407"/>
      <c r="D87" s="407"/>
      <c r="E87" s="884"/>
      <c r="F87" s="812"/>
      <c r="G87" s="407"/>
      <c r="H87" s="407"/>
      <c r="J87" s="430"/>
    </row>
    <row r="88" spans="1:10">
      <c r="A88" s="429"/>
      <c r="C88" s="407"/>
      <c r="D88" s="407"/>
      <c r="E88" s="407"/>
      <c r="F88" s="812"/>
      <c r="G88" s="407"/>
      <c r="H88" s="407"/>
      <c r="J88" s="430"/>
    </row>
    <row r="89" spans="1:10">
      <c r="A89" s="429"/>
      <c r="C89" s="407"/>
      <c r="D89" s="407"/>
      <c r="E89" s="407"/>
      <c r="F89" s="812"/>
      <c r="G89" s="407"/>
      <c r="H89" s="407"/>
      <c r="J89" s="430"/>
    </row>
    <row r="90" spans="1:10">
      <c r="A90" s="429"/>
      <c r="C90" s="407"/>
      <c r="D90" s="407"/>
      <c r="E90" s="407"/>
      <c r="F90" s="812"/>
      <c r="G90" s="407"/>
      <c r="H90" s="407"/>
      <c r="J90" s="430"/>
    </row>
    <row r="91" spans="1:10">
      <c r="A91" s="429"/>
      <c r="C91" s="407"/>
      <c r="D91" s="407"/>
      <c r="E91" s="407"/>
      <c r="F91" s="812"/>
      <c r="G91" s="407"/>
      <c r="H91" s="407"/>
      <c r="J91" s="430"/>
    </row>
    <row r="92" spans="1:10">
      <c r="A92" s="429"/>
      <c r="C92" s="407"/>
      <c r="D92" s="407"/>
      <c r="E92" s="407"/>
      <c r="F92" s="812"/>
      <c r="G92" s="407"/>
      <c r="H92" s="407"/>
      <c r="J92" s="430"/>
    </row>
    <row r="93" spans="1:10">
      <c r="A93" s="429"/>
      <c r="C93" s="407"/>
      <c r="D93" s="407"/>
      <c r="E93" s="407"/>
      <c r="F93" s="812"/>
      <c r="G93" s="407"/>
      <c r="H93" s="407"/>
      <c r="J93" s="430"/>
    </row>
    <row r="94" spans="1:10">
      <c r="A94" s="429"/>
      <c r="C94" s="407"/>
      <c r="D94" s="407"/>
      <c r="E94" s="407"/>
      <c r="F94" s="812"/>
      <c r="G94" s="407"/>
      <c r="H94" s="407"/>
      <c r="J94" s="430"/>
    </row>
    <row r="95" spans="1:10">
      <c r="A95" s="429"/>
      <c r="C95" s="407"/>
      <c r="D95" s="407"/>
      <c r="E95" s="407"/>
      <c r="F95" s="812"/>
      <c r="G95" s="407"/>
      <c r="H95" s="407"/>
      <c r="J95" s="430"/>
    </row>
  </sheetData>
  <mergeCells count="6">
    <mergeCell ref="A1:J1"/>
    <mergeCell ref="G2:J2"/>
    <mergeCell ref="A31:E31"/>
    <mergeCell ref="F31:J31"/>
    <mergeCell ref="F52:J52"/>
    <mergeCell ref="A52:E52"/>
  </mergeCells>
  <phoneticPr fontId="3" type="noConversion"/>
  <printOptions horizontalCentered="1"/>
  <pageMargins left="0.41" right="0.42" top="0.47" bottom="0.37" header="0.31496062992125984" footer="0.31496062992125984"/>
  <pageSetup paperSize="9" scale="89" orientation="landscape" r:id="rId1"/>
  <rowBreaks count="1" manualBreakCount="1">
    <brk id="30" max="9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26"/>
  <sheetViews>
    <sheetView view="pageBreakPreview" zoomScaleNormal="100" zoomScaleSheetLayoutView="100" workbookViewId="0">
      <selection activeCell="A6" sqref="A6"/>
    </sheetView>
  </sheetViews>
  <sheetFormatPr defaultColWidth="8.88671875" defaultRowHeight="13.5"/>
  <cols>
    <col min="1" max="4" width="17.77734375" style="462" customWidth="1"/>
    <col min="5" max="5" width="25.77734375" style="462" customWidth="1"/>
    <col min="6" max="6" width="6.6640625" style="462" customWidth="1"/>
    <col min="7" max="7" width="7.44140625" style="462" customWidth="1"/>
    <col min="8" max="9" width="11" style="462" bestFit="1" customWidth="1"/>
    <col min="10" max="16384" width="8.88671875" style="462"/>
  </cols>
  <sheetData>
    <row r="1" spans="1:9" ht="27.75" customHeight="1">
      <c r="A1" s="1020" t="str">
        <f>사업개요!C3</f>
        <v>2026년 금정용수지선 외 6개소 보수보강 공사</v>
      </c>
      <c r="B1" s="1020"/>
      <c r="C1" s="1020"/>
      <c r="D1" s="1020"/>
      <c r="E1" s="1020"/>
      <c r="F1" s="1020"/>
      <c r="G1" s="1020"/>
    </row>
    <row r="2" spans="1:9" ht="6.75" customHeight="1">
      <c r="A2" s="463"/>
      <c r="B2" s="463"/>
      <c r="C2" s="463"/>
      <c r="D2" s="463"/>
      <c r="E2" s="463"/>
      <c r="F2" s="463"/>
      <c r="G2" s="463"/>
    </row>
    <row r="3" spans="1:9" s="464" customFormat="1" ht="19.5" customHeight="1" thickBot="1">
      <c r="A3" s="1017" t="s">
        <v>1726</v>
      </c>
      <c r="B3" s="1017"/>
      <c r="G3" s="465" t="s">
        <v>1727</v>
      </c>
    </row>
    <row r="4" spans="1:9" s="464" customFormat="1" ht="23.25" customHeight="1">
      <c r="A4" s="548" t="s">
        <v>1728</v>
      </c>
      <c r="B4" s="547" t="s">
        <v>2343</v>
      </c>
      <c r="C4" s="547" t="s">
        <v>2147</v>
      </c>
      <c r="D4" s="547" t="s">
        <v>1888</v>
      </c>
      <c r="E4" s="1021" t="s">
        <v>1729</v>
      </c>
      <c r="F4" s="1022"/>
      <c r="G4" s="1023"/>
    </row>
    <row r="5" spans="1:9" s="464" customFormat="1" ht="40.5">
      <c r="A5" s="930" t="str">
        <f>사업개요!C3</f>
        <v>2026년 금정용수지선 외 6개소 보수보강 공사</v>
      </c>
      <c r="B5" s="466">
        <f>B22</f>
        <v>19793</v>
      </c>
      <c r="C5" s="466">
        <f>C22</f>
        <v>19793</v>
      </c>
      <c r="D5" s="466">
        <f>C5-B5</f>
        <v>0</v>
      </c>
      <c r="E5" s="1024"/>
      <c r="F5" s="1024"/>
      <c r="G5" s="1025"/>
    </row>
    <row r="6" spans="1:9" s="464" customFormat="1" ht="23.25" customHeight="1">
      <c r="A6" s="467"/>
      <c r="B6" s="466"/>
      <c r="C6" s="466"/>
      <c r="D6" s="466"/>
      <c r="E6" s="1024"/>
      <c r="F6" s="1024"/>
      <c r="G6" s="1025"/>
    </row>
    <row r="7" spans="1:9" s="464" customFormat="1" ht="23.25" customHeight="1">
      <c r="A7" s="467"/>
      <c r="B7" s="466"/>
      <c r="C7" s="466"/>
      <c r="D7" s="466"/>
      <c r="E7" s="1024"/>
      <c r="F7" s="1024"/>
      <c r="G7" s="1025"/>
    </row>
    <row r="8" spans="1:9" s="464" customFormat="1" ht="23.25" customHeight="1" thickBot="1">
      <c r="A8" s="468" t="s">
        <v>53</v>
      </c>
      <c r="B8" s="469">
        <f>B5</f>
        <v>19793</v>
      </c>
      <c r="C8" s="469">
        <f>C22</f>
        <v>19793</v>
      </c>
      <c r="D8" s="469">
        <f>SUM(D5:D7)</f>
        <v>0</v>
      </c>
      <c r="E8" s="1027"/>
      <c r="F8" s="1027"/>
      <c r="G8" s="1028"/>
    </row>
    <row r="9" spans="1:9" s="464" customFormat="1" ht="9.75" customHeight="1"/>
    <row r="10" spans="1:9" s="464" customFormat="1" ht="19.5" customHeight="1" thickBot="1">
      <c r="A10" s="1017" t="s">
        <v>1730</v>
      </c>
      <c r="B10" s="1017"/>
    </row>
    <row r="11" spans="1:9" s="464" customFormat="1" ht="23.25" customHeight="1">
      <c r="A11" s="548" t="s">
        <v>1728</v>
      </c>
      <c r="B11" s="547" t="str">
        <f>B4</f>
        <v>신 청 액</v>
      </c>
      <c r="C11" s="547" t="str">
        <f>C4</f>
        <v>인 가 액</v>
      </c>
      <c r="D11" s="547" t="s">
        <v>1888</v>
      </c>
      <c r="E11" s="1021" t="s">
        <v>1729</v>
      </c>
      <c r="F11" s="1022"/>
      <c r="G11" s="1023"/>
    </row>
    <row r="12" spans="1:9" s="464" customFormat="1" ht="23.25" customHeight="1">
      <c r="A12" s="470" t="s">
        <v>1731</v>
      </c>
      <c r="B12" s="471">
        <f>토목총괄표!D29/1000</f>
        <v>19793</v>
      </c>
      <c r="C12" s="471">
        <f>토목총괄표!G29/1000</f>
        <v>19793</v>
      </c>
      <c r="D12" s="471">
        <f t="shared" ref="D12:D19" si="0">C12-B12</f>
        <v>0</v>
      </c>
      <c r="E12" s="1017"/>
      <c r="F12" s="1017"/>
      <c r="G12" s="1026"/>
      <c r="H12" s="938">
        <f>50216-B22</f>
        <v>30423</v>
      </c>
    </row>
    <row r="13" spans="1:9" s="464" customFormat="1" ht="23.25" customHeight="1">
      <c r="A13" s="467" t="s">
        <v>1732</v>
      </c>
      <c r="B13" s="471">
        <v>0</v>
      </c>
      <c r="C13" s="472">
        <v>0</v>
      </c>
      <c r="D13" s="472">
        <f t="shared" si="0"/>
        <v>0</v>
      </c>
      <c r="E13" s="1029"/>
      <c r="F13" s="1030"/>
      <c r="G13" s="1031"/>
    </row>
    <row r="14" spans="1:9" s="464" customFormat="1" ht="23.25" customHeight="1">
      <c r="A14" s="467" t="s">
        <v>2260</v>
      </c>
      <c r="B14" s="471">
        <v>0</v>
      </c>
      <c r="C14" s="472">
        <v>0</v>
      </c>
      <c r="D14" s="472"/>
      <c r="E14" s="541"/>
      <c r="F14" s="542"/>
      <c r="G14" s="543"/>
      <c r="I14" s="938"/>
    </row>
    <row r="15" spans="1:9" s="464" customFormat="1" ht="23.25" customHeight="1">
      <c r="A15" s="467" t="s">
        <v>1733</v>
      </c>
      <c r="B15" s="472">
        <f>B12+B13+B14</f>
        <v>19793</v>
      </c>
      <c r="C15" s="472">
        <f>C12+C13+C14</f>
        <v>19793</v>
      </c>
      <c r="D15" s="472">
        <f t="shared" si="0"/>
        <v>0</v>
      </c>
      <c r="E15" s="1017"/>
      <c r="F15" s="1017"/>
      <c r="G15" s="1026"/>
    </row>
    <row r="16" spans="1:9" s="464" customFormat="1" ht="23.25" customHeight="1">
      <c r="A16" s="467" t="s">
        <v>1734</v>
      </c>
      <c r="B16" s="472">
        <v>0</v>
      </c>
      <c r="C16" s="472">
        <v>0</v>
      </c>
      <c r="D16" s="472">
        <f t="shared" si="0"/>
        <v>0</v>
      </c>
      <c r="E16" s="473"/>
      <c r="F16" s="474"/>
      <c r="G16" s="475"/>
    </row>
    <row r="17" spans="1:7" s="464" customFormat="1" ht="23.25" customHeight="1">
      <c r="A17" s="467" t="s">
        <v>1735</v>
      </c>
      <c r="B17" s="472">
        <v>0</v>
      </c>
      <c r="C17" s="472">
        <v>0</v>
      </c>
      <c r="D17" s="472">
        <f t="shared" si="0"/>
        <v>0</v>
      </c>
      <c r="E17" s="473"/>
      <c r="F17" s="474"/>
      <c r="G17" s="475"/>
    </row>
    <row r="18" spans="1:7" s="464" customFormat="1" ht="23.25" customHeight="1">
      <c r="A18" s="467" t="s">
        <v>1736</v>
      </c>
      <c r="B18" s="472">
        <v>0</v>
      </c>
      <c r="C18" s="472">
        <v>0</v>
      </c>
      <c r="D18" s="472">
        <f t="shared" si="0"/>
        <v>0</v>
      </c>
      <c r="E18" s="473"/>
      <c r="F18" s="474"/>
      <c r="G18" s="475"/>
    </row>
    <row r="19" spans="1:7" s="464" customFormat="1" ht="23.25" customHeight="1">
      <c r="A19" s="467" t="s">
        <v>2146</v>
      </c>
      <c r="B19" s="472">
        <v>0</v>
      </c>
      <c r="C19" s="472">
        <v>0</v>
      </c>
      <c r="D19" s="472">
        <f t="shared" si="0"/>
        <v>0</v>
      </c>
      <c r="E19" s="576" t="s">
        <v>2151</v>
      </c>
      <c r="F19" s="474"/>
      <c r="G19" s="475"/>
    </row>
    <row r="20" spans="1:7" s="464" customFormat="1" ht="23.25" customHeight="1">
      <c r="A20" s="467" t="s">
        <v>1738</v>
      </c>
      <c r="B20" s="472">
        <f>SUM(B16:B19)</f>
        <v>0</v>
      </c>
      <c r="C20" s="472">
        <f>SUM(C16:C19)</f>
        <v>0</v>
      </c>
      <c r="D20" s="472">
        <f>SUM(D16:D19)</f>
        <v>0</v>
      </c>
      <c r="E20" s="1024"/>
      <c r="F20" s="1024"/>
      <c r="G20" s="1025"/>
    </row>
    <row r="21" spans="1:7" s="464" customFormat="1" ht="23.25" customHeight="1">
      <c r="A21" s="476"/>
      <c r="B21" s="477"/>
      <c r="C21" s="477"/>
      <c r="D21" s="477"/>
      <c r="E21" s="1024"/>
      <c r="F21" s="1024"/>
      <c r="G21" s="1025"/>
    </row>
    <row r="22" spans="1:7" s="464" customFormat="1" ht="23.25" customHeight="1" thickBot="1">
      <c r="A22" s="468" t="s">
        <v>1739</v>
      </c>
      <c r="B22" s="469">
        <f>SUM(B20,B15)</f>
        <v>19793</v>
      </c>
      <c r="C22" s="469">
        <f>C20+C15</f>
        <v>19793</v>
      </c>
      <c r="D22" s="469">
        <f>C22-B22</f>
        <v>0</v>
      </c>
      <c r="E22" s="1027"/>
      <c r="F22" s="1027"/>
      <c r="G22" s="1028"/>
    </row>
    <row r="23" spans="1:7" ht="24" customHeight="1">
      <c r="B23" s="481"/>
      <c r="C23" s="478"/>
      <c r="D23" s="479"/>
      <c r="E23" s="1017"/>
      <c r="F23" s="1017"/>
      <c r="G23" s="1017"/>
    </row>
    <row r="24" spans="1:7" ht="24" customHeight="1">
      <c r="C24" s="480"/>
      <c r="D24" s="480"/>
    </row>
    <row r="25" spans="1:7" ht="24" customHeight="1">
      <c r="C25" s="480"/>
      <c r="D25" s="481"/>
    </row>
    <row r="26" spans="1:7" ht="24" customHeight="1">
      <c r="C26" s="481"/>
    </row>
  </sheetData>
  <mergeCells count="16">
    <mergeCell ref="E23:G23"/>
    <mergeCell ref="E11:G11"/>
    <mergeCell ref="E12:G12"/>
    <mergeCell ref="E5:G5"/>
    <mergeCell ref="E6:G6"/>
    <mergeCell ref="E7:G7"/>
    <mergeCell ref="E8:G8"/>
    <mergeCell ref="E22:G22"/>
    <mergeCell ref="E13:G13"/>
    <mergeCell ref="E15:G15"/>
    <mergeCell ref="A1:G1"/>
    <mergeCell ref="A3:B3"/>
    <mergeCell ref="E4:G4"/>
    <mergeCell ref="E20:G20"/>
    <mergeCell ref="E21:G21"/>
    <mergeCell ref="A10:B10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37"/>
  <sheetViews>
    <sheetView view="pageBreakPreview" zoomScaleNormal="100" zoomScaleSheetLayoutView="100" workbookViewId="0">
      <selection activeCell="D7" sqref="D7"/>
    </sheetView>
  </sheetViews>
  <sheetFormatPr defaultColWidth="8.88671875" defaultRowHeight="13.5"/>
  <cols>
    <col min="1" max="1" width="14.109375" customWidth="1"/>
    <col min="2" max="2" width="5.33203125" customWidth="1"/>
    <col min="3" max="3" width="5" customWidth="1"/>
    <col min="4" max="4" width="8.21875" customWidth="1"/>
    <col min="5" max="5" width="6.109375" customWidth="1"/>
    <col min="6" max="6" width="8.44140625" customWidth="1"/>
    <col min="7" max="7" width="9.33203125" customWidth="1"/>
    <col min="8" max="8" width="8.6640625" customWidth="1"/>
    <col min="9" max="9" width="9.5546875" customWidth="1"/>
    <col min="10" max="10" width="8" customWidth="1"/>
    <col min="11" max="11" width="9.5546875" customWidth="1"/>
    <col min="12" max="12" width="8" customWidth="1"/>
    <col min="13" max="13" width="9.5546875" customWidth="1"/>
    <col min="14" max="14" width="7.5546875" customWidth="1"/>
  </cols>
  <sheetData>
    <row r="1" spans="1:14" ht="25.5">
      <c r="A1" s="1032" t="str">
        <f>사업개요!C3</f>
        <v>2026년 금정용수지선 외 6개소 보수보강 공사</v>
      </c>
      <c r="B1" s="1032"/>
      <c r="C1" s="1032"/>
      <c r="D1" s="1032"/>
      <c r="E1" s="1032"/>
      <c r="F1" s="1032"/>
      <c r="G1" s="1032"/>
      <c r="H1" s="1032"/>
      <c r="I1" s="1032"/>
      <c r="J1" s="1032"/>
      <c r="K1" s="1032"/>
      <c r="L1" s="1032"/>
      <c r="M1" s="1032"/>
      <c r="N1" s="1032"/>
    </row>
    <row r="2" spans="1:14">
      <c r="A2" s="435"/>
      <c r="B2" s="436"/>
      <c r="C2" s="436"/>
      <c r="D2" s="885"/>
      <c r="E2" s="1033"/>
      <c r="F2" s="1033"/>
      <c r="G2" s="886"/>
      <c r="H2" s="887"/>
      <c r="I2" s="887"/>
      <c r="J2" s="888"/>
      <c r="K2" s="887"/>
      <c r="L2" s="889"/>
      <c r="M2" s="887"/>
      <c r="N2" s="889"/>
    </row>
    <row r="3" spans="1:14" ht="18" customHeight="1">
      <c r="A3" s="1034" t="s">
        <v>2539</v>
      </c>
      <c r="B3" s="1036" t="s">
        <v>37</v>
      </c>
      <c r="C3" s="1037"/>
      <c r="D3" s="1038" t="s">
        <v>2540</v>
      </c>
      <c r="E3" s="1034" t="s">
        <v>50</v>
      </c>
      <c r="F3" s="890" t="s">
        <v>2541</v>
      </c>
      <c r="G3" s="891"/>
      <c r="H3" s="890" t="s">
        <v>47</v>
      </c>
      <c r="I3" s="891"/>
      <c r="J3" s="890" t="s">
        <v>48</v>
      </c>
      <c r="K3" s="891"/>
      <c r="L3" s="890" t="s">
        <v>2542</v>
      </c>
      <c r="M3" s="891"/>
      <c r="N3" s="1034" t="s">
        <v>2543</v>
      </c>
    </row>
    <row r="4" spans="1:14" ht="18" customHeight="1">
      <c r="A4" s="1035"/>
      <c r="B4" s="1040" t="s">
        <v>49</v>
      </c>
      <c r="C4" s="1041"/>
      <c r="D4" s="1039"/>
      <c r="E4" s="1035"/>
      <c r="F4" s="892" t="s">
        <v>207</v>
      </c>
      <c r="G4" s="892" t="s">
        <v>2544</v>
      </c>
      <c r="H4" s="892" t="s">
        <v>207</v>
      </c>
      <c r="I4" s="892" t="s">
        <v>2544</v>
      </c>
      <c r="J4" s="892" t="s">
        <v>207</v>
      </c>
      <c r="K4" s="892" t="s">
        <v>2544</v>
      </c>
      <c r="L4" s="892" t="s">
        <v>207</v>
      </c>
      <c r="M4" s="892" t="s">
        <v>2544</v>
      </c>
      <c r="N4" s="1035"/>
    </row>
    <row r="5" spans="1:14" ht="18" customHeight="1">
      <c r="A5" s="1044" t="s">
        <v>2545</v>
      </c>
      <c r="B5" s="1046" t="s">
        <v>494</v>
      </c>
      <c r="C5" s="1047"/>
      <c r="D5" s="893">
        <v>0</v>
      </c>
      <c r="E5" s="894" t="s">
        <v>1013</v>
      </c>
      <c r="F5" s="495">
        <f t="shared" ref="F5:G8" si="0">SUM(H5,J5,L5)</f>
        <v>29587</v>
      </c>
      <c r="G5" s="495">
        <f t="shared" si="0"/>
        <v>0</v>
      </c>
      <c r="H5" s="578">
        <f>[6]단가일람!F99</f>
        <v>4857</v>
      </c>
      <c r="I5" s="496">
        <f>TRUNC(H5*$D5,0)</f>
        <v>0</v>
      </c>
      <c r="J5" s="578">
        <f>[6]단가일람!G99</f>
        <v>-4250</v>
      </c>
      <c r="K5" s="496">
        <f>TRUNC(J5*$D5,0)</f>
        <v>0</v>
      </c>
      <c r="L5" s="495">
        <f>[6]단가일람!H99</f>
        <v>28980</v>
      </c>
      <c r="M5" s="496">
        <f>TRUNC(L5*$D5,0)</f>
        <v>0</v>
      </c>
      <c r="N5" s="895" t="s">
        <v>2339</v>
      </c>
    </row>
    <row r="6" spans="1:14" ht="18" customHeight="1">
      <c r="A6" s="1045"/>
      <c r="B6" s="1042"/>
      <c r="C6" s="1043"/>
      <c r="D6" s="896">
        <f>D5</f>
        <v>0</v>
      </c>
      <c r="E6" s="897" t="s">
        <v>55</v>
      </c>
      <c r="F6" s="579">
        <f t="shared" si="0"/>
        <v>29587</v>
      </c>
      <c r="G6" s="579">
        <f t="shared" si="0"/>
        <v>0</v>
      </c>
      <c r="H6" s="579">
        <f>H5</f>
        <v>4857</v>
      </c>
      <c r="I6" s="580">
        <f>TRUNC(H6*$D6,0)</f>
        <v>0</v>
      </c>
      <c r="J6" s="579">
        <f>J5</f>
        <v>-4250</v>
      </c>
      <c r="K6" s="580">
        <f>TRUNC(J6*$D6,0)</f>
        <v>0</v>
      </c>
      <c r="L6" s="579">
        <f>L5</f>
        <v>28980</v>
      </c>
      <c r="M6" s="580">
        <f>TRUNC(L6*$D6,0)</f>
        <v>0</v>
      </c>
      <c r="N6" s="581" t="s">
        <v>2340</v>
      </c>
    </row>
    <row r="7" spans="1:14" ht="18" customHeight="1">
      <c r="A7" s="1044"/>
      <c r="B7" s="1046" t="s">
        <v>2546</v>
      </c>
      <c r="C7" s="1047"/>
      <c r="D7" s="893">
        <f>ROUND(재료집계표!K27*2.3,2)</f>
        <v>21.16</v>
      </c>
      <c r="E7" s="894" t="s">
        <v>1013</v>
      </c>
      <c r="F7" s="898">
        <f t="shared" si="0"/>
        <v>37508</v>
      </c>
      <c r="G7" s="898">
        <f t="shared" si="0"/>
        <v>793667</v>
      </c>
      <c r="H7" s="899">
        <f>[6]단가일람!F101</f>
        <v>4887</v>
      </c>
      <c r="I7" s="900">
        <f>TRUNC(H7*$D7,0)</f>
        <v>103408</v>
      </c>
      <c r="J7" s="899">
        <f>[6]단가일람!G101</f>
        <v>3623</v>
      </c>
      <c r="K7" s="900">
        <f>TRUNC(J7*$D7,0)</f>
        <v>76662</v>
      </c>
      <c r="L7" s="898">
        <f>[6]단가일람!H101</f>
        <v>28998</v>
      </c>
      <c r="M7" s="900">
        <f>TRUNC(L7*$D7,0)</f>
        <v>613597</v>
      </c>
      <c r="N7" s="895" t="s">
        <v>2339</v>
      </c>
    </row>
    <row r="8" spans="1:14" ht="18" customHeight="1">
      <c r="A8" s="1045"/>
      <c r="B8" s="1042"/>
      <c r="C8" s="1043"/>
      <c r="D8" s="896">
        <f>D7</f>
        <v>21.16</v>
      </c>
      <c r="E8" s="897" t="s">
        <v>55</v>
      </c>
      <c r="F8" s="579">
        <f t="shared" si="0"/>
        <v>37508</v>
      </c>
      <c r="G8" s="579">
        <f t="shared" si="0"/>
        <v>793667</v>
      </c>
      <c r="H8" s="579">
        <f>H7</f>
        <v>4887</v>
      </c>
      <c r="I8" s="580">
        <f>TRUNC(H8*$D8,0)</f>
        <v>103408</v>
      </c>
      <c r="J8" s="579">
        <f>J7</f>
        <v>3623</v>
      </c>
      <c r="K8" s="580">
        <f>TRUNC(J8*$D8,0)</f>
        <v>76662</v>
      </c>
      <c r="L8" s="579">
        <f>L7</f>
        <v>28998</v>
      </c>
      <c r="M8" s="580">
        <f>TRUNC(L8*$D8,0)</f>
        <v>613597</v>
      </c>
      <c r="N8" s="581" t="s">
        <v>2340</v>
      </c>
    </row>
    <row r="9" spans="1:14" ht="18" customHeight="1">
      <c r="A9" s="895"/>
      <c r="B9" s="1046"/>
      <c r="C9" s="1047"/>
      <c r="D9" s="901"/>
      <c r="E9" s="895"/>
      <c r="F9" s="898"/>
      <c r="G9" s="898"/>
      <c r="H9" s="898"/>
      <c r="I9" s="900"/>
      <c r="J9" s="898"/>
      <c r="K9" s="900"/>
      <c r="L9" s="898"/>
      <c r="M9" s="900"/>
      <c r="N9" s="902"/>
    </row>
    <row r="10" spans="1:14" ht="18" customHeight="1">
      <c r="A10" s="903"/>
      <c r="B10" s="1042"/>
      <c r="C10" s="1043"/>
      <c r="D10" s="904"/>
      <c r="E10" s="903"/>
      <c r="F10" s="905"/>
      <c r="G10" s="905"/>
      <c r="H10" s="905"/>
      <c r="I10" s="906"/>
      <c r="J10" s="905"/>
      <c r="K10" s="906"/>
      <c r="L10" s="905"/>
      <c r="M10" s="906"/>
      <c r="N10" s="907"/>
    </row>
    <row r="11" spans="1:14" ht="18" customHeight="1">
      <c r="A11" s="895"/>
      <c r="B11" s="1046"/>
      <c r="C11" s="1047"/>
      <c r="D11" s="901"/>
      <c r="E11" s="895"/>
      <c r="F11" s="898"/>
      <c r="G11" s="898"/>
      <c r="H11" s="898"/>
      <c r="I11" s="900"/>
      <c r="J11" s="898"/>
      <c r="K11" s="900"/>
      <c r="L11" s="898"/>
      <c r="M11" s="900"/>
      <c r="N11" s="902"/>
    </row>
    <row r="12" spans="1:14" ht="18" customHeight="1">
      <c r="A12" s="895"/>
      <c r="B12" s="1048"/>
      <c r="C12" s="1049"/>
      <c r="D12" s="901"/>
      <c r="E12" s="895"/>
      <c r="F12" s="898"/>
      <c r="G12" s="898"/>
      <c r="H12" s="898"/>
      <c r="I12" s="900"/>
      <c r="J12" s="898"/>
      <c r="K12" s="900"/>
      <c r="L12" s="898"/>
      <c r="M12" s="900"/>
      <c r="N12" s="902"/>
    </row>
    <row r="13" spans="1:14" ht="18" customHeight="1">
      <c r="A13" s="908"/>
      <c r="B13" s="909"/>
      <c r="C13" s="910"/>
      <c r="D13" s="911"/>
      <c r="E13" s="908"/>
      <c r="F13" s="495"/>
      <c r="G13" s="495"/>
      <c r="H13" s="495"/>
      <c r="I13" s="496"/>
      <c r="J13" s="495"/>
      <c r="K13" s="496"/>
      <c r="L13" s="495"/>
      <c r="M13" s="496"/>
      <c r="N13" s="497"/>
    </row>
    <row r="14" spans="1:14" ht="18" customHeight="1">
      <c r="A14" s="895"/>
      <c r="B14" s="912"/>
      <c r="C14" s="913"/>
      <c r="D14" s="901"/>
      <c r="E14" s="895"/>
      <c r="F14" s="898"/>
      <c r="G14" s="898"/>
      <c r="H14" s="898"/>
      <c r="I14" s="900"/>
      <c r="J14" s="898"/>
      <c r="K14" s="900"/>
      <c r="L14" s="898"/>
      <c r="M14" s="900"/>
      <c r="N14" s="902"/>
    </row>
    <row r="15" spans="1:14" ht="18" customHeight="1">
      <c r="A15" s="908"/>
      <c r="B15" s="1046"/>
      <c r="C15" s="1047"/>
      <c r="D15" s="911"/>
      <c r="E15" s="908"/>
      <c r="F15" s="495"/>
      <c r="G15" s="495"/>
      <c r="H15" s="495"/>
      <c r="I15" s="496"/>
      <c r="J15" s="495"/>
      <c r="K15" s="496"/>
      <c r="L15" s="495"/>
      <c r="M15" s="496"/>
      <c r="N15" s="497"/>
    </row>
    <row r="16" spans="1:14" ht="18" customHeight="1">
      <c r="A16" s="903"/>
      <c r="B16" s="1042"/>
      <c r="C16" s="1043"/>
      <c r="D16" s="904"/>
      <c r="E16" s="903"/>
      <c r="F16" s="905"/>
      <c r="G16" s="905"/>
      <c r="H16" s="905"/>
      <c r="I16" s="906"/>
      <c r="J16" s="905"/>
      <c r="K16" s="906"/>
      <c r="L16" s="905"/>
      <c r="M16" s="906"/>
      <c r="N16" s="907"/>
    </row>
    <row r="17" spans="1:14" ht="18" customHeight="1">
      <c r="A17" s="908"/>
      <c r="B17" s="1046"/>
      <c r="C17" s="1047"/>
      <c r="D17" s="911"/>
      <c r="E17" s="908"/>
      <c r="F17" s="495"/>
      <c r="G17" s="495"/>
      <c r="H17" s="495"/>
      <c r="I17" s="496"/>
      <c r="J17" s="495"/>
      <c r="K17" s="496"/>
      <c r="L17" s="495"/>
      <c r="M17" s="496"/>
      <c r="N17" s="497"/>
    </row>
    <row r="18" spans="1:14" ht="18" customHeight="1">
      <c r="A18" s="914"/>
      <c r="B18" s="1042"/>
      <c r="C18" s="1043"/>
      <c r="D18" s="904"/>
      <c r="E18" s="903"/>
      <c r="F18" s="905"/>
      <c r="G18" s="905"/>
      <c r="H18" s="905"/>
      <c r="I18" s="906"/>
      <c r="J18" s="905"/>
      <c r="K18" s="906"/>
      <c r="L18" s="905"/>
      <c r="M18" s="906"/>
      <c r="N18" s="907"/>
    </row>
    <row r="19" spans="1:14" ht="18" customHeight="1">
      <c r="A19" s="1050" t="s">
        <v>2547</v>
      </c>
      <c r="B19" s="1046" t="s">
        <v>2346</v>
      </c>
      <c r="C19" s="1047"/>
      <c r="D19" s="915"/>
      <c r="E19" s="908"/>
      <c r="F19" s="916"/>
      <c r="G19" s="917">
        <f>SUM(I19,K19,M19)</f>
        <v>793667</v>
      </c>
      <c r="H19" s="917"/>
      <c r="I19" s="917">
        <f>I7+I5</f>
        <v>103408</v>
      </c>
      <c r="J19" s="917"/>
      <c r="K19" s="917">
        <f>K7+K5</f>
        <v>76662</v>
      </c>
      <c r="L19" s="917"/>
      <c r="M19" s="917">
        <f>M7+M5</f>
        <v>613597</v>
      </c>
      <c r="N19" s="918"/>
    </row>
    <row r="20" spans="1:14" ht="18" customHeight="1">
      <c r="A20" s="1051"/>
      <c r="B20" s="1042"/>
      <c r="C20" s="1043"/>
      <c r="D20" s="919" t="s">
        <v>2548</v>
      </c>
      <c r="E20" s="897"/>
      <c r="F20" s="920"/>
      <c r="G20" s="921">
        <f>SUM(I20,K20,M20)</f>
        <v>792000</v>
      </c>
      <c r="H20" s="921"/>
      <c r="I20" s="921">
        <f>TRUNC(I19,-3)</f>
        <v>103000</v>
      </c>
      <c r="J20" s="921"/>
      <c r="K20" s="921">
        <f>TRUNC(K19,-3)</f>
        <v>76000</v>
      </c>
      <c r="L20" s="921"/>
      <c r="M20" s="921">
        <f>TRUNC(M19,-3)</f>
        <v>613000</v>
      </c>
      <c r="N20" s="922"/>
    </row>
    <row r="21" spans="1:14" ht="18" customHeight="1">
      <c r="A21" s="1051"/>
      <c r="B21" s="1046" t="s">
        <v>2259</v>
      </c>
      <c r="C21" s="1047"/>
      <c r="D21" s="462"/>
      <c r="E21" s="908"/>
      <c r="F21" s="916"/>
      <c r="G21" s="917">
        <f>SUM(I21,K21,M21)</f>
        <v>793667</v>
      </c>
      <c r="H21" s="917"/>
      <c r="I21" s="917">
        <f>I8+I6</f>
        <v>103408</v>
      </c>
      <c r="J21" s="917"/>
      <c r="K21" s="917">
        <f>K8+K6</f>
        <v>76662</v>
      </c>
      <c r="L21" s="917"/>
      <c r="M21" s="917">
        <f>M8+M6</f>
        <v>613597</v>
      </c>
      <c r="N21" s="918"/>
    </row>
    <row r="22" spans="1:14" ht="18" customHeight="1">
      <c r="A22" s="1052"/>
      <c r="B22" s="1042"/>
      <c r="C22" s="1043"/>
      <c r="D22" s="923" t="s">
        <v>2548</v>
      </c>
      <c r="E22" s="897"/>
      <c r="F22" s="920"/>
      <c r="G22" s="921">
        <f>SUM(I22,K22,M22)</f>
        <v>792000</v>
      </c>
      <c r="H22" s="921"/>
      <c r="I22" s="921">
        <f>TRUNC(I21,-3)</f>
        <v>103000</v>
      </c>
      <c r="J22" s="921"/>
      <c r="K22" s="921">
        <f>TRUNC(K21,-3)</f>
        <v>76000</v>
      </c>
      <c r="L22" s="921"/>
      <c r="M22" s="921">
        <f>TRUNC(M21,-3)</f>
        <v>613000</v>
      </c>
      <c r="N22" s="922"/>
    </row>
    <row r="23" spans="1:14" ht="18" customHeight="1">
      <c r="A23" s="1053" t="s">
        <v>2549</v>
      </c>
      <c r="B23" s="1046" t="s">
        <v>2346</v>
      </c>
      <c r="C23" s="1047"/>
      <c r="D23" s="915"/>
      <c r="E23" s="908"/>
      <c r="F23" s="916"/>
      <c r="G23" s="924">
        <f>TRUNC((G20*1.1),-3)</f>
        <v>871000</v>
      </c>
      <c r="H23" s="917"/>
      <c r="I23" s="917"/>
      <c r="J23" s="917"/>
      <c r="K23" s="917"/>
      <c r="L23" s="917"/>
      <c r="M23" s="917"/>
      <c r="N23" s="918"/>
    </row>
    <row r="24" spans="1:14" ht="18" customHeight="1">
      <c r="A24" s="1053"/>
      <c r="B24" s="1042"/>
      <c r="C24" s="1043"/>
      <c r="D24" s="919" t="s">
        <v>2548</v>
      </c>
      <c r="E24" s="897"/>
      <c r="F24" s="920"/>
      <c r="G24" s="921">
        <f>TRUNC((G20*1.1),-3)</f>
        <v>871000</v>
      </c>
      <c r="H24" s="925"/>
      <c r="I24" s="925"/>
      <c r="J24" s="925"/>
      <c r="K24" s="925"/>
      <c r="L24" s="925"/>
      <c r="M24" s="925"/>
      <c r="N24" s="926"/>
    </row>
    <row r="25" spans="1:14" ht="18" customHeight="1">
      <c r="A25" s="1053"/>
      <c r="B25" s="1046" t="s">
        <v>2259</v>
      </c>
      <c r="C25" s="1047"/>
      <c r="D25" s="462"/>
      <c r="E25" s="908"/>
      <c r="F25" s="916"/>
      <c r="G25" s="924">
        <f>TRUNC((G22*1.1),-3)</f>
        <v>871000</v>
      </c>
      <c r="H25" s="917"/>
      <c r="I25" s="917"/>
      <c r="J25" s="917"/>
      <c r="K25" s="917"/>
      <c r="L25" s="917"/>
      <c r="M25" s="917"/>
      <c r="N25" s="918"/>
    </row>
    <row r="26" spans="1:14" ht="18" customHeight="1">
      <c r="A26" s="1054"/>
      <c r="B26" s="1042"/>
      <c r="C26" s="1043"/>
      <c r="D26" s="923" t="s">
        <v>2548</v>
      </c>
      <c r="E26" s="897"/>
      <c r="F26" s="920"/>
      <c r="G26" s="921">
        <f>TRUNC((G22*1.1),-3)</f>
        <v>871000</v>
      </c>
      <c r="H26" s="925"/>
      <c r="I26" s="925"/>
      <c r="J26" s="925"/>
      <c r="K26" s="925"/>
      <c r="L26" s="925"/>
      <c r="M26" s="925"/>
      <c r="N26" s="926"/>
    </row>
    <row r="27" spans="1:14" ht="19.5" customHeight="1"/>
    <row r="28" spans="1:14" s="553" customFormat="1" ht="19.5" customHeight="1"/>
    <row r="29" spans="1:14" s="553" customFormat="1" ht="19.5" customHeight="1"/>
    <row r="30" spans="1:14" s="553" customFormat="1" ht="19.5" customHeight="1"/>
    <row r="31" spans="1:14" s="553" customFormat="1" ht="19.5" customHeight="1"/>
    <row r="32" spans="1:14" s="553" customFormat="1" ht="19.5" customHeight="1"/>
    <row r="33" s="553" customFormat="1" ht="19.5" customHeight="1"/>
    <row r="34" s="927" customFormat="1" ht="19.5" customHeight="1"/>
    <row r="35" s="927" customFormat="1" ht="19.5" customHeight="1"/>
    <row r="36" s="927" customFormat="1" ht="19.5" customHeight="1"/>
    <row r="37" s="927" customFormat="1"/>
  </sheetData>
  <mergeCells count="26">
    <mergeCell ref="A19:A22"/>
    <mergeCell ref="B19:C20"/>
    <mergeCell ref="B21:C22"/>
    <mergeCell ref="A23:A26"/>
    <mergeCell ref="B23:C24"/>
    <mergeCell ref="B25:C26"/>
    <mergeCell ref="B18:C18"/>
    <mergeCell ref="A5:A6"/>
    <mergeCell ref="B5:C6"/>
    <mergeCell ref="A7:A8"/>
    <mergeCell ref="B7:C8"/>
    <mergeCell ref="B9:C9"/>
    <mergeCell ref="B10:C10"/>
    <mergeCell ref="B11:C11"/>
    <mergeCell ref="B12:C12"/>
    <mergeCell ref="B15:C15"/>
    <mergeCell ref="B16:C16"/>
    <mergeCell ref="B17:C17"/>
    <mergeCell ref="A1:N1"/>
    <mergeCell ref="E2:F2"/>
    <mergeCell ref="A3:A4"/>
    <mergeCell ref="B3:C3"/>
    <mergeCell ref="D3:D4"/>
    <mergeCell ref="E3:E4"/>
    <mergeCell ref="N3:N4"/>
    <mergeCell ref="B4:C4"/>
  </mergeCells>
  <phoneticPr fontId="3" type="noConversion"/>
  <pageMargins left="0.34" right="0.32" top="0.75" bottom="0.44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15"/>
  <sheetViews>
    <sheetView view="pageBreakPreview" zoomScaleNormal="100" zoomScaleSheetLayoutView="100" workbookViewId="0">
      <selection activeCell="B1" sqref="B1"/>
    </sheetView>
  </sheetViews>
  <sheetFormatPr defaultColWidth="8.88671875" defaultRowHeight="13.5"/>
  <cols>
    <col min="1" max="1" width="13.5546875" style="395" customWidth="1"/>
    <col min="2" max="2" width="21.109375" style="395" customWidth="1"/>
    <col min="3" max="3" width="6.5546875" style="395" customWidth="1"/>
    <col min="4" max="4" width="11.33203125" style="395" customWidth="1"/>
    <col min="5" max="5" width="8.33203125" style="395" customWidth="1"/>
    <col min="6" max="6" width="14.44140625" style="396" customWidth="1"/>
    <col min="7" max="7" width="7.88671875" style="396" customWidth="1"/>
    <col min="8" max="8" width="14.109375" style="396" customWidth="1"/>
    <col min="9" max="9" width="7.88671875" style="396" customWidth="1"/>
    <col min="10" max="10" width="13.77734375" style="396" customWidth="1"/>
    <col min="11" max="11" width="9.33203125" style="395" customWidth="1"/>
    <col min="12" max="16384" width="8.88671875" style="395"/>
  </cols>
  <sheetData>
    <row r="1" spans="1:11" s="391" customFormat="1" ht="28.5" customHeight="1">
      <c r="A1" s="550" t="str">
        <f>사업개요!C3</f>
        <v>2026년 금정용수지선 외 6개소 보수보강 공사</v>
      </c>
      <c r="B1"/>
      <c r="C1"/>
      <c r="D1"/>
      <c r="E1"/>
      <c r="F1"/>
      <c r="G1" s="551" t="s">
        <v>2537</v>
      </c>
      <c r="H1" s="551"/>
      <c r="I1" s="551" t="s">
        <v>1767</v>
      </c>
      <c r="J1" s="551"/>
      <c r="K1" s="552" t="s">
        <v>1591</v>
      </c>
    </row>
    <row r="2" spans="1:11" s="392" customFormat="1" ht="23.25" customHeight="1">
      <c r="A2" s="1057" t="s">
        <v>65</v>
      </c>
      <c r="B2" s="1057"/>
      <c r="C2" s="1057" t="s">
        <v>1489</v>
      </c>
      <c r="D2" s="1057" t="s">
        <v>52</v>
      </c>
      <c r="E2" s="1057" t="s">
        <v>2347</v>
      </c>
      <c r="F2" s="1057"/>
      <c r="G2" s="1057" t="s">
        <v>1877</v>
      </c>
      <c r="H2" s="1057"/>
      <c r="I2" s="1057" t="s">
        <v>1815</v>
      </c>
      <c r="J2" s="1057"/>
      <c r="K2" s="1057" t="s">
        <v>1299</v>
      </c>
    </row>
    <row r="3" spans="1:11" s="392" customFormat="1" ht="23.25" customHeight="1">
      <c r="A3" s="762" t="s">
        <v>2081</v>
      </c>
      <c r="B3" s="665" t="s">
        <v>2082</v>
      </c>
      <c r="C3" s="1058"/>
      <c r="D3" s="1058"/>
      <c r="E3" s="665" t="s">
        <v>2083</v>
      </c>
      <c r="F3" s="665" t="s">
        <v>2084</v>
      </c>
      <c r="G3" s="665" t="s">
        <v>2083</v>
      </c>
      <c r="H3" s="665" t="s">
        <v>2084</v>
      </c>
      <c r="I3" s="665" t="s">
        <v>2083</v>
      </c>
      <c r="J3" s="665" t="s">
        <v>2084</v>
      </c>
      <c r="K3" s="1058"/>
    </row>
    <row r="4" spans="1:11" s="392" customFormat="1" ht="21" customHeight="1">
      <c r="A4" s="948"/>
      <c r="B4" s="806"/>
      <c r="C4" s="394"/>
      <c r="D4" s="807"/>
      <c r="E4" s="680"/>
      <c r="F4" s="681"/>
      <c r="G4" s="680"/>
      <c r="H4" s="808"/>
      <c r="I4" s="680"/>
      <c r="J4" s="680"/>
      <c r="K4" s="1055"/>
    </row>
    <row r="5" spans="1:11" s="392" customFormat="1" ht="21" customHeight="1">
      <c r="A5" s="863"/>
      <c r="B5" s="864"/>
      <c r="C5" s="865"/>
      <c r="D5" s="866"/>
      <c r="E5" s="867"/>
      <c r="F5" s="868"/>
      <c r="G5" s="867"/>
      <c r="H5" s="868"/>
      <c r="I5" s="869"/>
      <c r="J5" s="869"/>
      <c r="K5" s="1056"/>
    </row>
    <row r="6" spans="1:11" s="392" customFormat="1" ht="21" customHeight="1">
      <c r="A6" s="948" t="s">
        <v>1528</v>
      </c>
      <c r="B6" s="806" t="s">
        <v>45</v>
      </c>
      <c r="C6" s="394" t="s">
        <v>14</v>
      </c>
      <c r="D6" s="807">
        <v>339670</v>
      </c>
      <c r="E6" s="680">
        <v>0</v>
      </c>
      <c r="F6" s="681">
        <f>ROUNDUP(D6*E6,-3)</f>
        <v>0</v>
      </c>
      <c r="G6" s="680">
        <v>0</v>
      </c>
      <c r="H6" s="808">
        <f>ROUNDUP(D6*G6,-3)</f>
        <v>0</v>
      </c>
      <c r="I6" s="680"/>
      <c r="J6" s="680"/>
      <c r="K6" s="1055"/>
    </row>
    <row r="7" spans="1:11" s="392" customFormat="1" ht="21" customHeight="1">
      <c r="A7" s="863"/>
      <c r="B7" s="864"/>
      <c r="C7" s="865"/>
      <c r="D7" s="866"/>
      <c r="E7" s="867"/>
      <c r="F7" s="681">
        <f>ROUNDUP(D6*E6,-3)</f>
        <v>0</v>
      </c>
      <c r="G7" s="867"/>
      <c r="H7" s="808">
        <f>ROUNDUP(D6*G6,-3)</f>
        <v>0</v>
      </c>
      <c r="I7" s="869"/>
      <c r="J7" s="869"/>
      <c r="K7" s="1056"/>
    </row>
    <row r="8" spans="1:11" s="392" customFormat="1" ht="21" customHeight="1">
      <c r="A8" s="948" t="s">
        <v>2746</v>
      </c>
      <c r="B8" s="806" t="s">
        <v>2711</v>
      </c>
      <c r="C8" s="394" t="s">
        <v>14</v>
      </c>
      <c r="D8" s="807">
        <v>163570</v>
      </c>
      <c r="E8" s="680">
        <f>재료집계표!K15/2</f>
        <v>5</v>
      </c>
      <c r="F8" s="681">
        <f>ROUNDUP(D8*E8,-3)</f>
        <v>818000</v>
      </c>
      <c r="G8" s="680">
        <f>E8</f>
        <v>5</v>
      </c>
      <c r="H8" s="808">
        <f>ROUNDUP(D8*G8,-3)</f>
        <v>818000</v>
      </c>
      <c r="I8" s="680"/>
      <c r="J8" s="680"/>
      <c r="K8" s="1055"/>
    </row>
    <row r="9" spans="1:11" s="392" customFormat="1" ht="21" customHeight="1">
      <c r="A9" s="863"/>
      <c r="B9" s="864"/>
      <c r="C9" s="865"/>
      <c r="D9" s="866"/>
      <c r="E9" s="867"/>
      <c r="F9" s="681">
        <f>ROUNDUP(D8*E8,-3)</f>
        <v>818000</v>
      </c>
      <c r="G9" s="867"/>
      <c r="H9" s="808">
        <f>ROUNDUP(D8*G8,-3)</f>
        <v>818000</v>
      </c>
      <c r="I9" s="869"/>
      <c r="J9" s="869"/>
      <c r="K9" s="1056"/>
    </row>
    <row r="10" spans="1:11" s="392" customFormat="1" ht="21" customHeight="1">
      <c r="A10" s="393" t="s">
        <v>419</v>
      </c>
      <c r="B10" s="806" t="str">
        <f>자재!C207</f>
        <v>25-210-12</v>
      </c>
      <c r="C10" s="394" t="str">
        <f>자재!E207</f>
        <v>㎥</v>
      </c>
      <c r="D10" s="807">
        <f>자재!F207</f>
        <v>102680</v>
      </c>
      <c r="E10" s="680">
        <f>재료집계표!K25</f>
        <v>6.8000000000000007</v>
      </c>
      <c r="F10" s="681">
        <f>ROUNDUP(D10*E10,-3)</f>
        <v>699000</v>
      </c>
      <c r="G10" s="680">
        <f>재료집계표!K26</f>
        <v>6.8000000000000007</v>
      </c>
      <c r="H10" s="808">
        <f>ROUNDUP(D10*G10,-3)</f>
        <v>699000</v>
      </c>
      <c r="I10" s="680"/>
      <c r="J10" s="680"/>
      <c r="K10" s="1055" t="s">
        <v>2570</v>
      </c>
    </row>
    <row r="11" spans="1:11" s="392" customFormat="1" ht="21" customHeight="1">
      <c r="A11" s="863"/>
      <c r="B11" s="864"/>
      <c r="C11" s="865"/>
      <c r="D11" s="866"/>
      <c r="E11" s="867"/>
      <c r="F11" s="868">
        <f>SUM(F10:F10)</f>
        <v>699000</v>
      </c>
      <c r="G11" s="867"/>
      <c r="H11" s="868">
        <f>SUM(H10:H10)</f>
        <v>699000</v>
      </c>
      <c r="I11" s="869"/>
      <c r="J11" s="869"/>
      <c r="K11" s="1056"/>
    </row>
    <row r="12" spans="1:11" s="392" customFormat="1" ht="21" customHeight="1">
      <c r="A12" s="393"/>
      <c r="B12" s="806"/>
      <c r="C12" s="394"/>
      <c r="D12" s="807"/>
      <c r="E12" s="680"/>
      <c r="F12" s="681"/>
      <c r="G12" s="680"/>
      <c r="H12" s="808"/>
      <c r="I12" s="680"/>
      <c r="J12" s="680"/>
      <c r="K12" s="1055"/>
    </row>
    <row r="13" spans="1:11" s="392" customFormat="1" ht="21" customHeight="1">
      <c r="A13" s="393"/>
      <c r="B13" s="864"/>
      <c r="C13" s="865"/>
      <c r="D13" s="866"/>
      <c r="E13" s="867"/>
      <c r="F13" s="868"/>
      <c r="G13" s="867"/>
      <c r="H13" s="868"/>
      <c r="I13" s="869"/>
      <c r="J13" s="869"/>
      <c r="K13" s="1056"/>
    </row>
    <row r="14" spans="1:11" s="391" customFormat="1" ht="23.25" customHeight="1">
      <c r="A14" s="870" t="s">
        <v>1525</v>
      </c>
      <c r="B14" s="871"/>
      <c r="C14" s="871"/>
      <c r="D14" s="871"/>
      <c r="E14" s="872"/>
      <c r="F14" s="872">
        <f>SUM(F4,F8,F10,F6,F12)</f>
        <v>1517000</v>
      </c>
      <c r="G14" s="872"/>
      <c r="H14" s="872">
        <f>SUM(H4,H8,H10,H6,H12)</f>
        <v>1517000</v>
      </c>
      <c r="I14" s="873"/>
      <c r="J14" s="872"/>
      <c r="K14" s="872"/>
    </row>
    <row r="15" spans="1:11" ht="23.25" customHeight="1">
      <c r="A15" s="589" t="s">
        <v>1741</v>
      </c>
      <c r="B15" s="874"/>
      <c r="C15" s="874"/>
      <c r="D15" s="874"/>
      <c r="E15" s="874"/>
      <c r="F15" s="875">
        <f>SUM(F5,F9,F11,F7,F13)</f>
        <v>1517000</v>
      </c>
      <c r="G15" s="875"/>
      <c r="H15" s="875">
        <f>SUM(H5,H9,H11,H7,H13)</f>
        <v>1517000</v>
      </c>
      <c r="I15" s="876"/>
      <c r="J15" s="876"/>
      <c r="K15" s="874"/>
    </row>
  </sheetData>
  <mergeCells count="12">
    <mergeCell ref="A2:B2"/>
    <mergeCell ref="K2:K3"/>
    <mergeCell ref="I2:J2"/>
    <mergeCell ref="G2:H2"/>
    <mergeCell ref="D2:D3"/>
    <mergeCell ref="E2:F2"/>
    <mergeCell ref="K4:K5"/>
    <mergeCell ref="C2:C3"/>
    <mergeCell ref="K12:K13"/>
    <mergeCell ref="K6:K7"/>
    <mergeCell ref="K8:K9"/>
    <mergeCell ref="K10:K11"/>
  </mergeCells>
  <phoneticPr fontId="3" type="noConversion"/>
  <printOptions horizontalCentered="1"/>
  <pageMargins left="0.55118110236220474" right="0.47244094488188981" top="0.86" bottom="0.77" header="0.51181102362204722" footer="0.51181102362204722"/>
  <pageSetup paperSize="9" scale="81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/>
  </sheetPr>
  <dimension ref="A1:M37"/>
  <sheetViews>
    <sheetView view="pageBreakPreview" zoomScale="70" zoomScaleNormal="100" zoomScaleSheetLayoutView="70" workbookViewId="0">
      <selection activeCell="A2" sqref="A2"/>
    </sheetView>
  </sheetViews>
  <sheetFormatPr defaultColWidth="8.88671875" defaultRowHeight="13.5"/>
  <cols>
    <col min="1" max="1" width="3.88671875" style="397" customWidth="1"/>
    <col min="2" max="2" width="16" style="397" customWidth="1"/>
    <col min="3" max="3" width="7" style="398" customWidth="1"/>
    <col min="4" max="7" width="10.109375" style="398" customWidth="1"/>
    <col min="8" max="12" width="10.109375" style="397" customWidth="1"/>
    <col min="13" max="16384" width="8.88671875" style="397"/>
  </cols>
  <sheetData>
    <row r="1" spans="1:12" ht="31.5" customHeight="1">
      <c r="A1" s="1020" t="str">
        <f>사업개요!C3</f>
        <v>2026년 금정용수지선 외 6개소 보수보강 공사</v>
      </c>
      <c r="B1" s="1020"/>
      <c r="C1" s="1020"/>
      <c r="D1" s="1020"/>
      <c r="E1" s="1020"/>
      <c r="F1" s="1020"/>
      <c r="G1" s="1020"/>
      <c r="H1" s="1020"/>
      <c r="I1" s="1020"/>
      <c r="J1" s="1020"/>
      <c r="K1" s="1020"/>
      <c r="L1" s="1020"/>
    </row>
    <row r="2" spans="1:12" ht="16.5" customHeight="1">
      <c r="A2" s="417"/>
      <c r="B2" s="418"/>
      <c r="C2" s="419"/>
      <c r="D2" s="419"/>
      <c r="E2" s="419"/>
      <c r="F2" s="419"/>
      <c r="G2" s="417"/>
      <c r="H2" s="419"/>
      <c r="I2" s="419"/>
      <c r="J2" s="419"/>
      <c r="K2" s="419"/>
      <c r="L2" s="417" t="s">
        <v>1591</v>
      </c>
    </row>
    <row r="3" spans="1:12" ht="19.5" customHeight="1">
      <c r="A3" s="1065" t="s">
        <v>1814</v>
      </c>
      <c r="B3" s="1065"/>
      <c r="C3" s="1065"/>
      <c r="D3" s="1065" t="s">
        <v>2341</v>
      </c>
      <c r="E3" s="1065"/>
      <c r="F3" s="1065"/>
      <c r="G3" s="1065" t="s">
        <v>2342</v>
      </c>
      <c r="H3" s="1065"/>
      <c r="I3" s="1065"/>
      <c r="J3" s="1065" t="s">
        <v>1816</v>
      </c>
      <c r="K3" s="1065"/>
      <c r="L3" s="1065"/>
    </row>
    <row r="4" spans="1:12" ht="19.5" customHeight="1">
      <c r="A4" s="1065"/>
      <c r="B4" s="1065"/>
      <c r="C4" s="1065"/>
      <c r="D4" s="571" t="s">
        <v>1817</v>
      </c>
      <c r="E4" s="571" t="s">
        <v>1818</v>
      </c>
      <c r="F4" s="571" t="s">
        <v>1819</v>
      </c>
      <c r="G4" s="571" t="s">
        <v>1820</v>
      </c>
      <c r="H4" s="571" t="s">
        <v>1821</v>
      </c>
      <c r="I4" s="571" t="s">
        <v>1819</v>
      </c>
      <c r="J4" s="571" t="s">
        <v>1820</v>
      </c>
      <c r="K4" s="571" t="s">
        <v>1821</v>
      </c>
      <c r="L4" s="571" t="s">
        <v>1819</v>
      </c>
    </row>
    <row r="5" spans="1:12" ht="18" customHeight="1">
      <c r="A5" s="1062" t="s">
        <v>2141</v>
      </c>
      <c r="B5" s="544" t="s">
        <v>56</v>
      </c>
      <c r="C5" s="545"/>
      <c r="D5" s="572">
        <f>총공사비!H20</f>
        <v>5207000</v>
      </c>
      <c r="E5" s="573"/>
      <c r="F5" s="573">
        <f>E5+D5</f>
        <v>5207000</v>
      </c>
      <c r="G5" s="572">
        <f>총공사비!H22</f>
        <v>5207000</v>
      </c>
      <c r="H5" s="573"/>
      <c r="I5" s="573">
        <f>H5+G5</f>
        <v>5207000</v>
      </c>
      <c r="J5" s="574">
        <f>G5-D5</f>
        <v>0</v>
      </c>
      <c r="K5" s="574">
        <f>H5-E5</f>
        <v>0</v>
      </c>
      <c r="L5" s="575">
        <f>K5+J5</f>
        <v>0</v>
      </c>
    </row>
    <row r="6" spans="1:12" ht="18" customHeight="1">
      <c r="A6" s="1063"/>
      <c r="B6" s="544" t="s">
        <v>57</v>
      </c>
      <c r="C6" s="546">
        <v>0.16500000000000001</v>
      </c>
      <c r="D6" s="489">
        <f>TRUNC($C6*D5,0)</f>
        <v>859155</v>
      </c>
      <c r="E6" s="490"/>
      <c r="F6" s="490">
        <f t="shared" ref="F6:F29" si="0">E6+D6</f>
        <v>859155</v>
      </c>
      <c r="G6" s="489">
        <f>TRUNC($C6*G5,0)</f>
        <v>859155</v>
      </c>
      <c r="H6" s="490"/>
      <c r="I6" s="490">
        <f t="shared" ref="I6:I29" si="1">H6+G6</f>
        <v>859155</v>
      </c>
      <c r="J6" s="517">
        <f t="shared" ref="J6:J26" si="2">G6-D6</f>
        <v>0</v>
      </c>
      <c r="K6" s="517">
        <f t="shared" ref="K6:K26" si="3">H6-E6</f>
        <v>0</v>
      </c>
      <c r="L6" s="518">
        <f t="shared" ref="L6:L26" si="4">K6+J6</f>
        <v>0</v>
      </c>
    </row>
    <row r="7" spans="1:12" ht="18" customHeight="1">
      <c r="A7" s="1064"/>
      <c r="B7" s="544" t="s">
        <v>2215</v>
      </c>
      <c r="C7" s="545"/>
      <c r="D7" s="489">
        <f>SUM(D5,D6)</f>
        <v>6066155</v>
      </c>
      <c r="E7" s="490"/>
      <c r="F7" s="490">
        <f t="shared" si="0"/>
        <v>6066155</v>
      </c>
      <c r="G7" s="489">
        <f>SUM(G5,G6)</f>
        <v>6066155</v>
      </c>
      <c r="H7" s="490"/>
      <c r="I7" s="490">
        <f t="shared" si="1"/>
        <v>6066155</v>
      </c>
      <c r="J7" s="517">
        <f t="shared" si="2"/>
        <v>0</v>
      </c>
      <c r="K7" s="517">
        <f t="shared" si="3"/>
        <v>0</v>
      </c>
      <c r="L7" s="518">
        <f t="shared" si="4"/>
        <v>0</v>
      </c>
    </row>
    <row r="8" spans="1:12" ht="18" customHeight="1">
      <c r="A8" s="1059" t="s">
        <v>2166</v>
      </c>
      <c r="B8" s="1059"/>
      <c r="C8" s="545"/>
      <c r="D8" s="489">
        <f>총공사비!J20</f>
        <v>4541000</v>
      </c>
      <c r="E8" s="490"/>
      <c r="F8" s="490">
        <f t="shared" si="0"/>
        <v>4541000</v>
      </c>
      <c r="G8" s="489">
        <f>총공사비!J22</f>
        <v>4541000</v>
      </c>
      <c r="H8" s="490"/>
      <c r="I8" s="490">
        <f t="shared" si="1"/>
        <v>4541000</v>
      </c>
      <c r="J8" s="517">
        <f t="shared" si="2"/>
        <v>0</v>
      </c>
      <c r="K8" s="517">
        <f t="shared" si="3"/>
        <v>0</v>
      </c>
      <c r="L8" s="518">
        <f t="shared" si="4"/>
        <v>0</v>
      </c>
    </row>
    <row r="9" spans="1:12" ht="18" customHeight="1">
      <c r="A9" s="1062" t="s">
        <v>959</v>
      </c>
      <c r="B9" s="544" t="s">
        <v>2216</v>
      </c>
      <c r="C9" s="545"/>
      <c r="D9" s="489">
        <f>총공사비!L20</f>
        <v>770000</v>
      </c>
      <c r="E9" s="490"/>
      <c r="F9" s="490">
        <f t="shared" si="0"/>
        <v>770000</v>
      </c>
      <c r="G9" s="489">
        <f>총공사비!L22</f>
        <v>770000</v>
      </c>
      <c r="H9" s="490"/>
      <c r="I9" s="490">
        <f t="shared" si="1"/>
        <v>770000</v>
      </c>
      <c r="J9" s="517">
        <f t="shared" si="2"/>
        <v>0</v>
      </c>
      <c r="K9" s="517">
        <f t="shared" si="3"/>
        <v>0</v>
      </c>
      <c r="L9" s="518">
        <f t="shared" si="4"/>
        <v>0</v>
      </c>
    </row>
    <row r="10" spans="1:12" ht="18" customHeight="1">
      <c r="A10" s="1063"/>
      <c r="B10" s="544" t="s">
        <v>59</v>
      </c>
      <c r="C10" s="546">
        <v>3.56E-2</v>
      </c>
      <c r="D10" s="489">
        <f>TRUNC($C10*D7,0)</f>
        <v>215955</v>
      </c>
      <c r="E10" s="490"/>
      <c r="F10" s="490">
        <f t="shared" si="0"/>
        <v>215955</v>
      </c>
      <c r="G10" s="489">
        <f>TRUNC($C10*G7,0)</f>
        <v>215955</v>
      </c>
      <c r="H10" s="490"/>
      <c r="I10" s="490">
        <f t="shared" si="1"/>
        <v>215955</v>
      </c>
      <c r="J10" s="517">
        <f t="shared" si="2"/>
        <v>0</v>
      </c>
      <c r="K10" s="517">
        <f t="shared" si="3"/>
        <v>0</v>
      </c>
      <c r="L10" s="518">
        <f t="shared" si="4"/>
        <v>0</v>
      </c>
    </row>
    <row r="11" spans="1:12" ht="18" customHeight="1">
      <c r="A11" s="1063"/>
      <c r="B11" s="544" t="s">
        <v>60</v>
      </c>
      <c r="C11" s="546">
        <v>1.01E-2</v>
      </c>
      <c r="D11" s="489">
        <f>TRUNC($C11*D7,0)</f>
        <v>61268</v>
      </c>
      <c r="E11" s="490"/>
      <c r="F11" s="490">
        <f t="shared" si="0"/>
        <v>61268</v>
      </c>
      <c r="G11" s="489">
        <f>TRUNC($C11*G7,0)</f>
        <v>61268</v>
      </c>
      <c r="H11" s="490"/>
      <c r="I11" s="490">
        <f t="shared" si="1"/>
        <v>61268</v>
      </c>
      <c r="J11" s="517">
        <f t="shared" si="2"/>
        <v>0</v>
      </c>
      <c r="K11" s="517">
        <f t="shared" si="3"/>
        <v>0</v>
      </c>
      <c r="L11" s="518">
        <f t="shared" si="4"/>
        <v>0</v>
      </c>
    </row>
    <row r="12" spans="1:12" ht="18" customHeight="1">
      <c r="A12" s="1063"/>
      <c r="B12" s="544" t="s">
        <v>61</v>
      </c>
      <c r="C12" s="840">
        <v>3.5950000000000003E-2</v>
      </c>
      <c r="D12" s="489">
        <f>D5*C12</f>
        <v>187191.65000000002</v>
      </c>
      <c r="E12" s="490"/>
      <c r="F12" s="490">
        <f t="shared" si="0"/>
        <v>187191.65000000002</v>
      </c>
      <c r="G12" s="489">
        <f>G5*C12</f>
        <v>187191.65000000002</v>
      </c>
      <c r="H12" s="490"/>
      <c r="I12" s="490">
        <f t="shared" si="1"/>
        <v>187191.65000000002</v>
      </c>
      <c r="J12" s="517">
        <f t="shared" si="2"/>
        <v>0</v>
      </c>
      <c r="K12" s="517">
        <f t="shared" si="3"/>
        <v>0</v>
      </c>
      <c r="L12" s="518">
        <f t="shared" si="4"/>
        <v>0</v>
      </c>
    </row>
    <row r="13" spans="1:12" ht="18" customHeight="1">
      <c r="A13" s="1063"/>
      <c r="B13" s="544" t="s">
        <v>62</v>
      </c>
      <c r="C13" s="546">
        <v>4.7500000000000001E-2</v>
      </c>
      <c r="D13" s="489">
        <f>D5*C13</f>
        <v>247332.5</v>
      </c>
      <c r="E13" s="490"/>
      <c r="F13" s="490">
        <f t="shared" si="0"/>
        <v>247332.5</v>
      </c>
      <c r="G13" s="489">
        <f>G5*C13</f>
        <v>247332.5</v>
      </c>
      <c r="H13" s="490"/>
      <c r="I13" s="490">
        <f t="shared" si="1"/>
        <v>247332.5</v>
      </c>
      <c r="J13" s="517">
        <f t="shared" si="2"/>
        <v>0</v>
      </c>
      <c r="K13" s="517">
        <f t="shared" si="3"/>
        <v>0</v>
      </c>
      <c r="L13" s="518">
        <f t="shared" si="4"/>
        <v>0</v>
      </c>
    </row>
    <row r="14" spans="1:12" ht="18" customHeight="1">
      <c r="A14" s="1063"/>
      <c r="B14" s="544" t="s">
        <v>1303</v>
      </c>
      <c r="C14" s="546">
        <v>3.1099999999999999E-2</v>
      </c>
      <c r="D14" s="489">
        <f>TRUNC($C14*(D5+D8),0)</f>
        <v>303162</v>
      </c>
      <c r="E14" s="490"/>
      <c r="F14" s="490">
        <f t="shared" si="0"/>
        <v>303162</v>
      </c>
      <c r="G14" s="489">
        <f>TRUNC($C14*(G5+G8),0)</f>
        <v>303162</v>
      </c>
      <c r="H14" s="490"/>
      <c r="I14" s="490">
        <f t="shared" si="1"/>
        <v>303162</v>
      </c>
      <c r="J14" s="517">
        <f t="shared" si="2"/>
        <v>0</v>
      </c>
      <c r="K14" s="517">
        <f t="shared" si="3"/>
        <v>0</v>
      </c>
      <c r="L14" s="518">
        <f t="shared" si="4"/>
        <v>0</v>
      </c>
    </row>
    <row r="15" spans="1:12" ht="18" customHeight="1">
      <c r="A15" s="1063"/>
      <c r="B15" s="544" t="s">
        <v>63</v>
      </c>
      <c r="C15" s="546">
        <v>8.0000000000000002E-3</v>
      </c>
      <c r="D15" s="489">
        <f>(D5+D9+D8)*C15</f>
        <v>84144</v>
      </c>
      <c r="E15" s="490"/>
      <c r="F15" s="490">
        <f t="shared" si="0"/>
        <v>84144</v>
      </c>
      <c r="G15" s="489">
        <f>(G5+G8+G9)*C15</f>
        <v>84144</v>
      </c>
      <c r="H15" s="490"/>
      <c r="I15" s="490">
        <f t="shared" si="1"/>
        <v>84144</v>
      </c>
      <c r="J15" s="517">
        <f t="shared" si="2"/>
        <v>0</v>
      </c>
      <c r="K15" s="517">
        <f t="shared" si="3"/>
        <v>0</v>
      </c>
      <c r="L15" s="518">
        <f t="shared" si="4"/>
        <v>0</v>
      </c>
    </row>
    <row r="16" spans="1:12" ht="18" customHeight="1">
      <c r="A16" s="1063"/>
      <c r="B16" s="544" t="s">
        <v>64</v>
      </c>
      <c r="C16" s="546">
        <v>5.1999999999999998E-2</v>
      </c>
      <c r="D16" s="489">
        <f>TRUNC($C16*(D7+D8),0)</f>
        <v>551572</v>
      </c>
      <c r="E16" s="490"/>
      <c r="F16" s="490">
        <f t="shared" si="0"/>
        <v>551572</v>
      </c>
      <c r="G16" s="489">
        <f>TRUNC($C16*(G7+G8),0)</f>
        <v>551572</v>
      </c>
      <c r="H16" s="490"/>
      <c r="I16" s="490">
        <f t="shared" si="1"/>
        <v>551572</v>
      </c>
      <c r="J16" s="517">
        <f t="shared" si="2"/>
        <v>0</v>
      </c>
      <c r="K16" s="517">
        <f t="shared" si="3"/>
        <v>0</v>
      </c>
      <c r="L16" s="518">
        <f t="shared" si="4"/>
        <v>0</v>
      </c>
    </row>
    <row r="17" spans="1:13" ht="18" customHeight="1">
      <c r="A17" s="1063"/>
      <c r="B17" s="544" t="s">
        <v>2516</v>
      </c>
      <c r="C17" s="546">
        <v>2.3E-2</v>
      </c>
      <c r="D17" s="489">
        <f>D5*C17</f>
        <v>119761</v>
      </c>
      <c r="E17" s="490"/>
      <c r="F17" s="490">
        <f t="shared" si="0"/>
        <v>119761</v>
      </c>
      <c r="G17" s="489">
        <f>G5*C17</f>
        <v>119761</v>
      </c>
      <c r="H17" s="490"/>
      <c r="I17" s="490">
        <f t="shared" si="1"/>
        <v>119761</v>
      </c>
      <c r="J17" s="517"/>
      <c r="K17" s="517"/>
      <c r="L17" s="518"/>
    </row>
    <row r="18" spans="1:13" ht="18" customHeight="1">
      <c r="A18" s="1063"/>
      <c r="B18" s="544" t="s">
        <v>38</v>
      </c>
      <c r="C18" s="546">
        <v>0.13139999999999999</v>
      </c>
      <c r="D18" s="516">
        <f>TRUNC(D12*$C18)</f>
        <v>24596</v>
      </c>
      <c r="E18" s="517"/>
      <c r="F18" s="517">
        <f t="shared" si="0"/>
        <v>24596</v>
      </c>
      <c r="G18" s="516">
        <f>TRUNC(G12*$C18)</f>
        <v>24596</v>
      </c>
      <c r="H18" s="517"/>
      <c r="I18" s="517">
        <f t="shared" si="1"/>
        <v>24596</v>
      </c>
      <c r="J18" s="517">
        <f t="shared" si="2"/>
        <v>0</v>
      </c>
      <c r="K18" s="517">
        <f t="shared" si="3"/>
        <v>0</v>
      </c>
      <c r="L18" s="518">
        <f t="shared" si="4"/>
        <v>0</v>
      </c>
    </row>
    <row r="19" spans="1:13" ht="18" customHeight="1">
      <c r="A19" s="1064"/>
      <c r="B19" s="544" t="s">
        <v>2217</v>
      </c>
      <c r="C19" s="545"/>
      <c r="D19" s="489">
        <f>SUM(D9:D18)</f>
        <v>2564982.15</v>
      </c>
      <c r="E19" s="490"/>
      <c r="F19" s="490">
        <f t="shared" si="0"/>
        <v>2564982.15</v>
      </c>
      <c r="G19" s="489">
        <f>SUM(G9:G18)</f>
        <v>2564982.15</v>
      </c>
      <c r="H19" s="490"/>
      <c r="I19" s="490">
        <f t="shared" si="1"/>
        <v>2564982.15</v>
      </c>
      <c r="J19" s="517">
        <f t="shared" si="2"/>
        <v>0</v>
      </c>
      <c r="K19" s="517">
        <f t="shared" si="3"/>
        <v>0</v>
      </c>
      <c r="L19" s="518">
        <f t="shared" si="4"/>
        <v>0</v>
      </c>
    </row>
    <row r="20" spans="1:13" ht="18" customHeight="1">
      <c r="A20" s="1060" t="s">
        <v>2218</v>
      </c>
      <c r="B20" s="1061"/>
      <c r="C20" s="545"/>
      <c r="D20" s="489">
        <f>SUM(D7,D8,D19)</f>
        <v>13172137.15</v>
      </c>
      <c r="E20" s="490"/>
      <c r="F20" s="490">
        <f t="shared" si="0"/>
        <v>13172137.15</v>
      </c>
      <c r="G20" s="489">
        <f>SUM(G7,G8,G19)</f>
        <v>13172137.15</v>
      </c>
      <c r="H20" s="490"/>
      <c r="I20" s="490">
        <f t="shared" si="1"/>
        <v>13172137.15</v>
      </c>
      <c r="J20" s="517">
        <f t="shared" si="2"/>
        <v>0</v>
      </c>
      <c r="K20" s="517">
        <f t="shared" si="3"/>
        <v>0</v>
      </c>
      <c r="L20" s="518">
        <f t="shared" si="4"/>
        <v>0</v>
      </c>
    </row>
    <row r="21" spans="1:13" ht="18" customHeight="1">
      <c r="A21" s="1059" t="s">
        <v>2214</v>
      </c>
      <c r="B21" s="1059"/>
      <c r="C21" s="546">
        <v>0.08</v>
      </c>
      <c r="D21" s="489">
        <f>TRUNC($C21*D20,0)</f>
        <v>1053770</v>
      </c>
      <c r="E21" s="490"/>
      <c r="F21" s="490">
        <f t="shared" si="0"/>
        <v>1053770</v>
      </c>
      <c r="G21" s="489">
        <f>TRUNC($C21*G20,0)</f>
        <v>1053770</v>
      </c>
      <c r="H21" s="490"/>
      <c r="I21" s="490">
        <f t="shared" si="1"/>
        <v>1053770</v>
      </c>
      <c r="J21" s="517">
        <f t="shared" si="2"/>
        <v>0</v>
      </c>
      <c r="K21" s="517">
        <f t="shared" si="3"/>
        <v>0</v>
      </c>
      <c r="L21" s="518">
        <f t="shared" si="4"/>
        <v>0</v>
      </c>
    </row>
    <row r="22" spans="1:13" ht="18" customHeight="1">
      <c r="A22" s="1060" t="s">
        <v>2218</v>
      </c>
      <c r="B22" s="1061"/>
      <c r="C22" s="545"/>
      <c r="D22" s="489">
        <f>SUM(D20,D21)</f>
        <v>14225907.15</v>
      </c>
      <c r="E22" s="490"/>
      <c r="F22" s="490">
        <f t="shared" si="0"/>
        <v>14225907.15</v>
      </c>
      <c r="G22" s="489">
        <f>SUM(G20,G21)</f>
        <v>14225907.15</v>
      </c>
      <c r="H22" s="490"/>
      <c r="I22" s="490">
        <f t="shared" si="1"/>
        <v>14225907.15</v>
      </c>
      <c r="J22" s="517">
        <f t="shared" si="2"/>
        <v>0</v>
      </c>
      <c r="K22" s="517">
        <f t="shared" si="3"/>
        <v>0</v>
      </c>
      <c r="L22" s="518">
        <f t="shared" si="4"/>
        <v>0</v>
      </c>
    </row>
    <row r="23" spans="1:13" ht="18" customHeight="1">
      <c r="A23" s="1059" t="s">
        <v>2212</v>
      </c>
      <c r="B23" s="1059"/>
      <c r="C23" s="546">
        <v>0.15</v>
      </c>
      <c r="D23" s="521">
        <f>TRUNC($C23*(D20-D8),-3)-5000</f>
        <v>1289000</v>
      </c>
      <c r="E23" s="490"/>
      <c r="F23" s="490">
        <f>E23+D23</f>
        <v>1289000</v>
      </c>
      <c r="G23" s="521">
        <f>TRUNC($C23*(G20-G8),-3)-5000</f>
        <v>1289000</v>
      </c>
      <c r="H23" s="490"/>
      <c r="I23" s="490">
        <f>H23+G23</f>
        <v>1289000</v>
      </c>
      <c r="J23" s="517">
        <f>G23-D23</f>
        <v>0</v>
      </c>
      <c r="K23" s="517">
        <f>H23-E23</f>
        <v>0</v>
      </c>
      <c r="L23" s="518">
        <f>K23+J23</f>
        <v>0</v>
      </c>
      <c r="M23" s="422"/>
    </row>
    <row r="24" spans="1:13" ht="18" customHeight="1">
      <c r="A24" s="1059" t="s">
        <v>2584</v>
      </c>
      <c r="B24" s="1059"/>
      <c r="C24" s="546"/>
      <c r="D24" s="944">
        <f>폐기물처리비!G24</f>
        <v>871000</v>
      </c>
      <c r="E24" s="490"/>
      <c r="F24" s="490">
        <f>E24+D24</f>
        <v>871000</v>
      </c>
      <c r="G24" s="521">
        <f>폐기물처리비!G26</f>
        <v>871000</v>
      </c>
      <c r="H24" s="490"/>
      <c r="I24" s="490">
        <f>H24+G24</f>
        <v>871000</v>
      </c>
      <c r="J24" s="517"/>
      <c r="K24" s="517"/>
      <c r="L24" s="518"/>
      <c r="M24" s="422"/>
    </row>
    <row r="25" spans="1:13" ht="18" customHeight="1">
      <c r="A25" s="1059" t="s">
        <v>2568</v>
      </c>
      <c r="B25" s="1059"/>
      <c r="C25" s="546"/>
      <c r="D25" s="944">
        <f>자재대!F15</f>
        <v>1517000</v>
      </c>
      <c r="E25" s="490"/>
      <c r="F25" s="490">
        <f>E25+D25</f>
        <v>1517000</v>
      </c>
      <c r="G25" s="521">
        <f>자재대!H15</f>
        <v>1517000</v>
      </c>
      <c r="H25" s="490"/>
      <c r="I25" s="490">
        <f>H25+G25</f>
        <v>1517000</v>
      </c>
      <c r="J25" s="517"/>
      <c r="K25" s="517"/>
      <c r="L25" s="518"/>
      <c r="M25" s="422"/>
    </row>
    <row r="26" spans="1:13" ht="18" customHeight="1">
      <c r="A26" s="1060" t="s">
        <v>2218</v>
      </c>
      <c r="B26" s="1061"/>
      <c r="C26" s="545"/>
      <c r="D26" s="491">
        <f>ROUND(D22+D23+D24+D25,-3)</f>
        <v>17903000</v>
      </c>
      <c r="E26" s="490"/>
      <c r="F26" s="490">
        <f t="shared" si="0"/>
        <v>17903000</v>
      </c>
      <c r="G26" s="491">
        <f>ROUND(G22+G23+G24+G25,-3)</f>
        <v>17903000</v>
      </c>
      <c r="H26" s="490"/>
      <c r="I26" s="490">
        <f t="shared" si="1"/>
        <v>17903000</v>
      </c>
      <c r="J26" s="517">
        <f t="shared" si="2"/>
        <v>0</v>
      </c>
      <c r="K26" s="517">
        <f t="shared" si="3"/>
        <v>0</v>
      </c>
      <c r="L26" s="518">
        <f t="shared" si="4"/>
        <v>0</v>
      </c>
    </row>
    <row r="27" spans="1:13" ht="18" customHeight="1">
      <c r="A27" s="1059" t="s">
        <v>2213</v>
      </c>
      <c r="B27" s="1059"/>
      <c r="C27" s="545">
        <v>0.1</v>
      </c>
      <c r="D27" s="489">
        <f>ROUND(D26*$C27,-3)</f>
        <v>1790000</v>
      </c>
      <c r="E27" s="489"/>
      <c r="F27" s="490">
        <f>E27+D27</f>
        <v>1790000</v>
      </c>
      <c r="G27" s="489">
        <f>ROUND(G26*$C27,-3)</f>
        <v>1790000</v>
      </c>
      <c r="H27" s="489"/>
      <c r="I27" s="490">
        <f>H27+G27</f>
        <v>1790000</v>
      </c>
      <c r="J27" s="517">
        <f t="shared" ref="J27:K29" si="5">G27-D27</f>
        <v>0</v>
      </c>
      <c r="K27" s="517">
        <f t="shared" si="5"/>
        <v>0</v>
      </c>
      <c r="L27" s="518">
        <f>K27+J27</f>
        <v>0</v>
      </c>
    </row>
    <row r="28" spans="1:13" ht="18" customHeight="1">
      <c r="A28" s="1059" t="s">
        <v>2567</v>
      </c>
      <c r="B28" s="1059"/>
      <c r="C28" s="545"/>
      <c r="D28" s="489">
        <v>100000</v>
      </c>
      <c r="E28" s="489"/>
      <c r="F28" s="490">
        <f t="shared" si="0"/>
        <v>100000</v>
      </c>
      <c r="G28" s="489">
        <v>100000</v>
      </c>
      <c r="H28" s="489"/>
      <c r="I28" s="490">
        <f t="shared" si="1"/>
        <v>100000</v>
      </c>
      <c r="J28" s="517">
        <f t="shared" si="5"/>
        <v>0</v>
      </c>
      <c r="K28" s="517">
        <f t="shared" si="5"/>
        <v>0</v>
      </c>
      <c r="L28" s="518">
        <f>K28+J28</f>
        <v>0</v>
      </c>
    </row>
    <row r="29" spans="1:13" ht="18" customHeight="1">
      <c r="A29" s="1059" t="s">
        <v>2219</v>
      </c>
      <c r="B29" s="1059"/>
      <c r="C29" s="545"/>
      <c r="D29" s="492">
        <f>SUM(D26:D28)</f>
        <v>19793000</v>
      </c>
      <c r="E29" s="492"/>
      <c r="F29" s="493">
        <f t="shared" si="0"/>
        <v>19793000</v>
      </c>
      <c r="G29" s="492">
        <f>SUM(G26:G28)</f>
        <v>19793000</v>
      </c>
      <c r="H29" s="492"/>
      <c r="I29" s="493">
        <f t="shared" si="1"/>
        <v>19793000</v>
      </c>
      <c r="J29" s="519">
        <f t="shared" si="5"/>
        <v>0</v>
      </c>
      <c r="K29" s="519">
        <f t="shared" si="5"/>
        <v>0</v>
      </c>
      <c r="L29" s="520">
        <f>K29+J29</f>
        <v>0</v>
      </c>
    </row>
    <row r="30" spans="1:13" ht="19.5" customHeight="1">
      <c r="G30" s="422"/>
    </row>
    <row r="31" spans="1:13" ht="19.5" customHeight="1">
      <c r="G31" s="422"/>
    </row>
    <row r="32" spans="1:13" ht="19.5" customHeight="1">
      <c r="D32" s="951"/>
      <c r="I32" s="422"/>
      <c r="J32" s="422"/>
    </row>
    <row r="33" ht="19.5" customHeight="1"/>
    <row r="34" ht="19.5" customHeight="1"/>
    <row r="35" ht="19.5" customHeight="1"/>
    <row r="36" ht="19.5" customHeight="1"/>
    <row r="37" ht="19.5" customHeight="1"/>
  </sheetData>
  <mergeCells count="18">
    <mergeCell ref="A1:L1"/>
    <mergeCell ref="A5:A7"/>
    <mergeCell ref="A8:B8"/>
    <mergeCell ref="A9:A19"/>
    <mergeCell ref="A20:B20"/>
    <mergeCell ref="A3:C4"/>
    <mergeCell ref="D3:F3"/>
    <mergeCell ref="G3:I3"/>
    <mergeCell ref="J3:L3"/>
    <mergeCell ref="A29:B29"/>
    <mergeCell ref="A21:B21"/>
    <mergeCell ref="A22:B22"/>
    <mergeCell ref="A26:B26"/>
    <mergeCell ref="A28:B28"/>
    <mergeCell ref="A23:B23"/>
    <mergeCell ref="A27:B27"/>
    <mergeCell ref="A25:B25"/>
    <mergeCell ref="A24:B24"/>
  </mergeCells>
  <phoneticPr fontId="3" type="noConversion"/>
  <printOptions horizontalCentered="1"/>
  <pageMargins left="0.56999999999999995" right="0.5" top="0.77" bottom="0.66" header="0.51181102362204722" footer="0.51181102362204722"/>
  <pageSetup paperSize="9" scale="91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O56"/>
  <sheetViews>
    <sheetView view="pageBreakPreview" zoomScaleNormal="100" zoomScaleSheetLayoutView="100" workbookViewId="0">
      <selection activeCell="A7" sqref="A7:A8"/>
    </sheetView>
  </sheetViews>
  <sheetFormatPr defaultColWidth="8.88671875" defaultRowHeight="13.5"/>
  <cols>
    <col min="1" max="1" width="16.33203125" style="406" bestFit="1" customWidth="1"/>
    <col min="2" max="2" width="12.21875" style="406" customWidth="1"/>
    <col min="3" max="3" width="8.77734375" style="406" customWidth="1"/>
    <col min="4" max="4" width="5" style="406" customWidth="1"/>
    <col min="5" max="5" width="7.109375" style="406" customWidth="1"/>
    <col min="6" max="6" width="11.5546875" style="406" customWidth="1"/>
    <col min="7" max="7" width="7.109375" style="406" customWidth="1"/>
    <col min="8" max="8" width="10.44140625" style="406" customWidth="1"/>
    <col min="9" max="9" width="7.109375" style="406" customWidth="1"/>
    <col min="10" max="10" width="10.5546875" style="406" customWidth="1"/>
    <col min="11" max="11" width="7.109375" style="406" customWidth="1"/>
    <col min="12" max="12" width="10.21875" style="406" customWidth="1"/>
    <col min="13" max="13" width="4.6640625" style="406" customWidth="1"/>
    <col min="14" max="16384" width="8.88671875" style="406"/>
  </cols>
  <sheetData>
    <row r="1" spans="1:13" s="400" customFormat="1" ht="31.5" customHeight="1">
      <c r="A1" s="1020" t="str">
        <f>사업개요!C3</f>
        <v>2026년 금정용수지선 외 6개소 보수보강 공사</v>
      </c>
      <c r="B1" s="1020"/>
      <c r="C1" s="1020"/>
      <c r="D1" s="1020"/>
      <c r="E1" s="1020"/>
      <c r="F1" s="1020"/>
      <c r="G1" s="1020"/>
      <c r="H1" s="1020"/>
      <c r="I1" s="1020"/>
      <c r="J1" s="1020"/>
      <c r="K1" s="1020"/>
      <c r="L1" s="1020"/>
      <c r="M1" s="1020"/>
    </row>
    <row r="2" spans="1:13" s="400" customFormat="1" ht="21.75" customHeight="1">
      <c r="A2" s="435"/>
      <c r="B2" s="436"/>
      <c r="C2" s="401"/>
      <c r="D2" s="1017"/>
      <c r="E2" s="1017"/>
      <c r="F2" s="402"/>
      <c r="I2" s="403"/>
      <c r="K2" s="404"/>
      <c r="L2" s="1017" t="s">
        <v>1591</v>
      </c>
      <c r="M2" s="1017"/>
    </row>
    <row r="3" spans="1:13" s="405" customFormat="1" ht="24.75" customHeight="1">
      <c r="A3" s="1065" t="s">
        <v>1828</v>
      </c>
      <c r="B3" s="582" t="s">
        <v>37</v>
      </c>
      <c r="C3" s="1065" t="s">
        <v>408</v>
      </c>
      <c r="D3" s="1065" t="s">
        <v>50</v>
      </c>
      <c r="E3" s="1072" t="s">
        <v>1831</v>
      </c>
      <c r="F3" s="1073"/>
      <c r="G3" s="1072" t="s">
        <v>47</v>
      </c>
      <c r="H3" s="1073"/>
      <c r="I3" s="1072" t="s">
        <v>48</v>
      </c>
      <c r="J3" s="1073"/>
      <c r="K3" s="1072" t="s">
        <v>1832</v>
      </c>
      <c r="L3" s="1073"/>
      <c r="M3" s="1065" t="s">
        <v>1676</v>
      </c>
    </row>
    <row r="4" spans="1:13" s="405" customFormat="1" ht="24.75" customHeight="1">
      <c r="A4" s="1065"/>
      <c r="B4" s="583" t="s">
        <v>49</v>
      </c>
      <c r="C4" s="1065"/>
      <c r="D4" s="1065"/>
      <c r="E4" s="584" t="s">
        <v>207</v>
      </c>
      <c r="F4" s="584" t="s">
        <v>54</v>
      </c>
      <c r="G4" s="584" t="s">
        <v>207</v>
      </c>
      <c r="H4" s="584" t="s">
        <v>54</v>
      </c>
      <c r="I4" s="584" t="s">
        <v>207</v>
      </c>
      <c r="J4" s="584" t="s">
        <v>54</v>
      </c>
      <c r="K4" s="584" t="s">
        <v>207</v>
      </c>
      <c r="L4" s="584" t="s">
        <v>54</v>
      </c>
      <c r="M4" s="1065"/>
    </row>
    <row r="5" spans="1:13" s="405" customFormat="1" ht="18" customHeight="1">
      <c r="A5" s="1068" t="str">
        <f>사업개요!C3</f>
        <v>2026년 금정용수지선 외 6개소 보수보강 공사</v>
      </c>
      <c r="B5" s="1070" t="s">
        <v>2145</v>
      </c>
      <c r="C5" s="774">
        <v>1</v>
      </c>
      <c r="D5" s="775" t="s">
        <v>1874</v>
      </c>
      <c r="E5" s="776"/>
      <c r="F5" s="776">
        <f>SUM(H5,J5,L5)</f>
        <v>10519526</v>
      </c>
      <c r="G5" s="777"/>
      <c r="H5" s="778">
        <f>토목공사비!H29</f>
        <v>5207677</v>
      </c>
      <c r="I5" s="777"/>
      <c r="J5" s="778">
        <f>토목공사비!J29</f>
        <v>4541678</v>
      </c>
      <c r="K5" s="777"/>
      <c r="L5" s="778">
        <f>토목공사비!L29</f>
        <v>770171</v>
      </c>
      <c r="M5" s="779" t="s">
        <v>2344</v>
      </c>
    </row>
    <row r="6" spans="1:13" s="405" customFormat="1" ht="18" customHeight="1">
      <c r="A6" s="1069"/>
      <c r="B6" s="1069"/>
      <c r="C6" s="780">
        <v>1</v>
      </c>
      <c r="D6" s="781" t="s">
        <v>1874</v>
      </c>
      <c r="E6" s="782" t="s">
        <v>1692</v>
      </c>
      <c r="F6" s="782">
        <f>SUM(H6,J6,L6)</f>
        <v>10519526</v>
      </c>
      <c r="G6" s="782" t="s">
        <v>1692</v>
      </c>
      <c r="H6" s="783">
        <f>토목공사비!H31</f>
        <v>5207677</v>
      </c>
      <c r="I6" s="782" t="s">
        <v>1692</v>
      </c>
      <c r="J6" s="783">
        <f>토목공사비!J31</f>
        <v>4541678</v>
      </c>
      <c r="K6" s="782" t="s">
        <v>1692</v>
      </c>
      <c r="L6" s="783">
        <f>토목공사비!L31</f>
        <v>770171</v>
      </c>
      <c r="M6" s="784" t="s">
        <v>2345</v>
      </c>
    </row>
    <row r="7" spans="1:13" s="405" customFormat="1" ht="18" customHeight="1">
      <c r="A7" s="1066"/>
      <c r="B7" s="1066"/>
      <c r="C7" s="785"/>
      <c r="D7" s="786"/>
      <c r="E7" s="495"/>
      <c r="F7" s="495"/>
      <c r="G7" s="578"/>
      <c r="H7" s="496"/>
      <c r="I7" s="578"/>
      <c r="J7" s="496"/>
      <c r="K7" s="578"/>
      <c r="L7" s="496"/>
      <c r="M7" s="497"/>
    </row>
    <row r="8" spans="1:13" s="405" customFormat="1" ht="18" customHeight="1">
      <c r="A8" s="1066"/>
      <c r="B8" s="1066"/>
      <c r="C8" s="787"/>
      <c r="D8" s="788"/>
      <c r="E8" s="579"/>
      <c r="F8" s="579"/>
      <c r="G8" s="579"/>
      <c r="H8" s="580"/>
      <c r="I8" s="579"/>
      <c r="J8" s="580"/>
      <c r="K8" s="579"/>
      <c r="L8" s="580"/>
      <c r="M8" s="581"/>
    </row>
    <row r="9" spans="1:13" s="405" customFormat="1" ht="18" customHeight="1">
      <c r="A9" s="1050"/>
      <c r="B9" s="1050"/>
      <c r="C9" s="805"/>
      <c r="D9" s="786"/>
      <c r="E9" s="495"/>
      <c r="F9" s="495"/>
      <c r="G9" s="495"/>
      <c r="H9" s="496"/>
      <c r="I9" s="495"/>
      <c r="J9" s="496"/>
      <c r="K9" s="495"/>
      <c r="L9" s="496"/>
      <c r="M9" s="497"/>
    </row>
    <row r="10" spans="1:13" s="405" customFormat="1" ht="18" customHeight="1">
      <c r="A10" s="1071"/>
      <c r="B10" s="1071"/>
      <c r="C10" s="787"/>
      <c r="D10" s="788"/>
      <c r="E10" s="579"/>
      <c r="F10" s="579"/>
      <c r="G10" s="579"/>
      <c r="H10" s="580"/>
      <c r="I10" s="579"/>
      <c r="J10" s="580"/>
      <c r="K10" s="579"/>
      <c r="L10" s="580"/>
      <c r="M10" s="581"/>
    </row>
    <row r="11" spans="1:13" s="405" customFormat="1" ht="18" customHeight="1">
      <c r="A11" s="1050"/>
      <c r="B11" s="1050"/>
      <c r="C11" s="805"/>
      <c r="D11" s="786"/>
      <c r="E11" s="495"/>
      <c r="F11" s="495"/>
      <c r="G11" s="495"/>
      <c r="H11" s="496"/>
      <c r="I11" s="495"/>
      <c r="J11" s="496"/>
      <c r="K11" s="495"/>
      <c r="L11" s="496"/>
      <c r="M11" s="497"/>
    </row>
    <row r="12" spans="1:13" s="405" customFormat="1" ht="18" customHeight="1">
      <c r="A12" s="1071"/>
      <c r="B12" s="1071"/>
      <c r="C12" s="787"/>
      <c r="D12" s="788"/>
      <c r="E12" s="579"/>
      <c r="F12" s="579"/>
      <c r="G12" s="579"/>
      <c r="H12" s="580"/>
      <c r="I12" s="579"/>
      <c r="J12" s="580"/>
      <c r="K12" s="579"/>
      <c r="L12" s="580"/>
      <c r="M12" s="581"/>
    </row>
    <row r="13" spans="1:13" s="405" customFormat="1" ht="18" customHeight="1">
      <c r="A13" s="1050"/>
      <c r="B13" s="1050"/>
      <c r="C13" s="805"/>
      <c r="D13" s="786"/>
      <c r="E13" s="495"/>
      <c r="F13" s="495"/>
      <c r="G13" s="495"/>
      <c r="H13" s="496"/>
      <c r="I13" s="495"/>
      <c r="J13" s="496"/>
      <c r="K13" s="495"/>
      <c r="L13" s="496"/>
      <c r="M13" s="497"/>
    </row>
    <row r="14" spans="1:13" s="405" customFormat="1" ht="18" customHeight="1">
      <c r="A14" s="1071"/>
      <c r="B14" s="1071"/>
      <c r="C14" s="787"/>
      <c r="D14" s="788"/>
      <c r="E14" s="579"/>
      <c r="F14" s="579"/>
      <c r="G14" s="579"/>
      <c r="H14" s="580"/>
      <c r="I14" s="579"/>
      <c r="J14" s="580"/>
      <c r="K14" s="579"/>
      <c r="L14" s="580"/>
      <c r="M14" s="581"/>
    </row>
    <row r="15" spans="1:13" s="405" customFormat="1" ht="18" customHeight="1">
      <c r="A15" s="1066"/>
      <c r="B15" s="1066"/>
      <c r="C15" s="785"/>
      <c r="D15" s="786"/>
      <c r="E15" s="495"/>
      <c r="F15" s="495"/>
      <c r="G15" s="578"/>
      <c r="H15" s="496"/>
      <c r="I15" s="578"/>
      <c r="J15" s="496"/>
      <c r="K15" s="578"/>
      <c r="L15" s="496"/>
      <c r="M15" s="497"/>
    </row>
    <row r="16" spans="1:13" s="405" customFormat="1" ht="18" customHeight="1">
      <c r="A16" s="1066"/>
      <c r="B16" s="1066"/>
      <c r="C16" s="787"/>
      <c r="D16" s="788"/>
      <c r="E16" s="579"/>
      <c r="F16" s="579"/>
      <c r="G16" s="579"/>
      <c r="H16" s="580"/>
      <c r="I16" s="579"/>
      <c r="J16" s="580"/>
      <c r="K16" s="579"/>
      <c r="L16" s="580"/>
      <c r="M16" s="581"/>
    </row>
    <row r="17" spans="1:15" s="405" customFormat="1" ht="18" customHeight="1">
      <c r="A17" s="1066"/>
      <c r="B17" s="1066"/>
      <c r="C17" s="785"/>
      <c r="D17" s="786"/>
      <c r="E17" s="495"/>
      <c r="F17" s="495"/>
      <c r="G17" s="578"/>
      <c r="H17" s="496"/>
      <c r="I17" s="578"/>
      <c r="J17" s="496"/>
      <c r="K17" s="578"/>
      <c r="L17" s="496"/>
      <c r="M17" s="497"/>
    </row>
    <row r="18" spans="1:15" s="405" customFormat="1" ht="18" customHeight="1">
      <c r="A18" s="1066"/>
      <c r="B18" s="1066"/>
      <c r="C18" s="787"/>
      <c r="D18" s="788"/>
      <c r="E18" s="579"/>
      <c r="F18" s="579"/>
      <c r="G18" s="579"/>
      <c r="H18" s="580"/>
      <c r="I18" s="579"/>
      <c r="J18" s="580"/>
      <c r="K18" s="579"/>
      <c r="L18" s="580"/>
      <c r="M18" s="581"/>
    </row>
    <row r="19" spans="1:15" s="423" customFormat="1" ht="18" customHeight="1">
      <c r="A19" s="1067" t="s">
        <v>1878</v>
      </c>
      <c r="B19" s="1067" t="s">
        <v>2346</v>
      </c>
      <c r="C19" s="789"/>
      <c r="D19" s="790"/>
      <c r="E19" s="791"/>
      <c r="F19" s="792">
        <f>H19+J19+L19</f>
        <v>10519526</v>
      </c>
      <c r="G19" s="792"/>
      <c r="H19" s="793">
        <f>H5+H7</f>
        <v>5207677</v>
      </c>
      <c r="I19" s="792"/>
      <c r="J19" s="793">
        <f>J5+J7</f>
        <v>4541678</v>
      </c>
      <c r="K19" s="792"/>
      <c r="L19" s="793">
        <f>L5+L7</f>
        <v>770171</v>
      </c>
      <c r="M19" s="794"/>
      <c r="N19" s="523"/>
      <c r="O19" s="523"/>
    </row>
    <row r="20" spans="1:15" s="423" customFormat="1" ht="18" customHeight="1">
      <c r="A20" s="1067"/>
      <c r="B20" s="1067"/>
      <c r="C20" s="795" t="s">
        <v>1741</v>
      </c>
      <c r="D20" s="795"/>
      <c r="E20" s="796"/>
      <c r="F20" s="797">
        <f>H20+J20+L20</f>
        <v>10518000</v>
      </c>
      <c r="G20" s="797"/>
      <c r="H20" s="798">
        <f>INT(H19/1000)*1000</f>
        <v>5207000</v>
      </c>
      <c r="I20" s="797"/>
      <c r="J20" s="798">
        <f>INT(J19/1000)*1000</f>
        <v>4541000</v>
      </c>
      <c r="K20" s="797"/>
      <c r="L20" s="798">
        <f>INT(L19/1000)*1000</f>
        <v>770000</v>
      </c>
      <c r="M20" s="799"/>
      <c r="N20" s="523"/>
      <c r="O20" s="523"/>
    </row>
    <row r="21" spans="1:15" s="524" customFormat="1" ht="18" customHeight="1">
      <c r="A21" s="1067"/>
      <c r="B21" s="1067" t="s">
        <v>2259</v>
      </c>
      <c r="C21" s="800"/>
      <c r="D21" s="801"/>
      <c r="E21" s="792"/>
      <c r="F21" s="792">
        <f>H21+J21+L21</f>
        <v>10519526</v>
      </c>
      <c r="G21" s="792"/>
      <c r="H21" s="793">
        <f>H6+H8</f>
        <v>5207677</v>
      </c>
      <c r="I21" s="792"/>
      <c r="J21" s="793">
        <f>J6+J8</f>
        <v>4541678</v>
      </c>
      <c r="K21" s="792"/>
      <c r="L21" s="793">
        <f>L6+L8</f>
        <v>770171</v>
      </c>
      <c r="M21" s="802"/>
      <c r="N21" s="523"/>
      <c r="O21" s="523"/>
    </row>
    <row r="22" spans="1:15" s="524" customFormat="1" ht="18" customHeight="1">
      <c r="A22" s="1067"/>
      <c r="B22" s="1067"/>
      <c r="C22" s="795" t="s">
        <v>1741</v>
      </c>
      <c r="D22" s="803"/>
      <c r="E22" s="797"/>
      <c r="F22" s="797">
        <f>H22+J22+L22</f>
        <v>10518000</v>
      </c>
      <c r="G22" s="797"/>
      <c r="H22" s="798">
        <f>INT(H21/1000)*1000</f>
        <v>5207000</v>
      </c>
      <c r="I22" s="797"/>
      <c r="J22" s="798">
        <f>INT(J21/1000)*1000</f>
        <v>4541000</v>
      </c>
      <c r="K22" s="797"/>
      <c r="L22" s="798">
        <f>INT(L21/1000)*1000</f>
        <v>770000</v>
      </c>
      <c r="M22" s="804"/>
      <c r="N22" s="523"/>
      <c r="O22" s="523"/>
    </row>
    <row r="23" spans="1:15" s="405" customFormat="1" ht="18" customHeight="1">
      <c r="A23" s="1066"/>
      <c r="B23" s="1066"/>
      <c r="C23" s="785"/>
      <c r="D23" s="786"/>
      <c r="E23" s="495"/>
      <c r="F23" s="495"/>
      <c r="G23" s="578"/>
      <c r="H23" s="496"/>
      <c r="I23" s="578"/>
      <c r="J23" s="496"/>
      <c r="K23" s="578"/>
      <c r="L23" s="496"/>
      <c r="M23" s="497"/>
    </row>
    <row r="24" spans="1:15" s="405" customFormat="1" ht="18" customHeight="1">
      <c r="A24" s="1066"/>
      <c r="B24" s="1066"/>
      <c r="C24" s="787"/>
      <c r="D24" s="788"/>
      <c r="E24" s="579"/>
      <c r="F24" s="579"/>
      <c r="G24" s="579"/>
      <c r="H24" s="580"/>
      <c r="I24" s="579"/>
      <c r="J24" s="580"/>
      <c r="K24" s="579"/>
      <c r="L24" s="580"/>
      <c r="M24" s="581"/>
    </row>
    <row r="25" spans="1:15" s="405" customFormat="1" ht="18" customHeight="1">
      <c r="A25" s="406"/>
      <c r="B25" s="406"/>
      <c r="C25" s="406"/>
      <c r="D25" s="406"/>
      <c r="E25" s="406"/>
      <c r="F25" s="406"/>
      <c r="G25" s="406"/>
      <c r="H25" s="406"/>
      <c r="I25" s="406"/>
      <c r="J25" s="406"/>
      <c r="K25" s="406"/>
      <c r="L25" s="406"/>
      <c r="M25" s="406"/>
    </row>
    <row r="26" spans="1:15" s="405" customFormat="1" ht="18" customHeight="1">
      <c r="A26" s="406"/>
      <c r="B26" s="406"/>
      <c r="C26" s="406"/>
      <c r="D26" s="406"/>
      <c r="E26" s="406"/>
      <c r="F26" s="406"/>
      <c r="G26" s="406"/>
      <c r="H26" s="406"/>
      <c r="I26" s="406"/>
      <c r="J26" s="406"/>
      <c r="K26" s="406"/>
      <c r="L26" s="406"/>
      <c r="M26" s="406"/>
    </row>
    <row r="27" spans="1:15" s="405" customFormat="1" ht="18" customHeight="1">
      <c r="A27" s="406"/>
      <c r="B27" s="406"/>
      <c r="C27" s="406"/>
      <c r="D27" s="406"/>
      <c r="E27" s="406"/>
      <c r="F27" s="406"/>
      <c r="G27" s="406"/>
      <c r="H27" s="406"/>
      <c r="I27" s="406"/>
      <c r="J27" s="406"/>
      <c r="K27" s="406"/>
      <c r="L27" s="406"/>
      <c r="M27" s="406"/>
    </row>
    <row r="28" spans="1:15" s="405" customFormat="1" ht="18" customHeight="1">
      <c r="A28" s="406"/>
      <c r="B28" s="406"/>
      <c r="C28" s="406"/>
      <c r="D28" s="406"/>
      <c r="E28" s="406"/>
      <c r="F28" s="406"/>
      <c r="G28" s="406"/>
      <c r="H28" s="406"/>
      <c r="I28" s="406"/>
      <c r="J28" s="406"/>
      <c r="K28" s="406"/>
      <c r="L28" s="406"/>
      <c r="M28" s="406"/>
    </row>
    <row r="29" spans="1:15" s="405" customFormat="1" ht="18" customHeight="1">
      <c r="A29" s="406"/>
      <c r="B29" s="406"/>
      <c r="C29" s="406"/>
      <c r="D29" s="406"/>
      <c r="E29" s="406"/>
      <c r="F29" s="406"/>
      <c r="G29" s="406"/>
      <c r="H29" s="406"/>
      <c r="I29" s="406"/>
      <c r="J29" s="406"/>
      <c r="K29" s="406"/>
      <c r="L29" s="406"/>
      <c r="M29" s="406"/>
    </row>
    <row r="30" spans="1:15" s="405" customFormat="1" ht="18" customHeight="1">
      <c r="A30" s="406"/>
      <c r="B30" s="406"/>
      <c r="C30" s="406"/>
      <c r="D30" s="406"/>
      <c r="E30" s="406"/>
      <c r="F30" s="406"/>
      <c r="G30" s="406"/>
      <c r="H30" s="406"/>
      <c r="I30" s="406"/>
      <c r="J30" s="406"/>
      <c r="K30" s="406"/>
      <c r="L30" s="406"/>
      <c r="M30" s="406"/>
    </row>
    <row r="31" spans="1:15" s="405" customFormat="1" ht="18" customHeight="1">
      <c r="A31" s="406"/>
      <c r="B31" s="406"/>
      <c r="C31" s="406"/>
      <c r="D31" s="406"/>
      <c r="E31" s="406"/>
      <c r="F31" s="406"/>
      <c r="G31" s="406"/>
      <c r="H31" s="406"/>
      <c r="I31" s="406"/>
      <c r="J31" s="406"/>
      <c r="K31" s="406"/>
      <c r="L31" s="406"/>
      <c r="M31" s="406"/>
    </row>
    <row r="32" spans="1:15" s="405" customFormat="1" ht="18" customHeight="1">
      <c r="A32" s="406"/>
      <c r="B32" s="406"/>
      <c r="C32" s="406"/>
      <c r="D32" s="406"/>
      <c r="E32" s="406"/>
      <c r="F32" s="406"/>
      <c r="G32" s="406"/>
      <c r="H32" s="406"/>
      <c r="I32" s="406"/>
      <c r="J32" s="406"/>
      <c r="K32" s="406"/>
      <c r="L32" s="406"/>
      <c r="M32" s="406"/>
    </row>
    <row r="33" spans="1:13" s="405" customFormat="1" ht="18" customHeight="1">
      <c r="A33" s="406"/>
      <c r="B33" s="406"/>
      <c r="C33" s="406"/>
      <c r="D33" s="406"/>
      <c r="E33" s="406"/>
      <c r="F33" s="406"/>
      <c r="G33" s="406"/>
      <c r="H33" s="406"/>
      <c r="I33" s="406"/>
      <c r="J33" s="406"/>
      <c r="K33" s="406"/>
      <c r="L33" s="406"/>
      <c r="M33" s="406"/>
    </row>
    <row r="34" spans="1:13" s="405" customFormat="1" ht="18" customHeight="1">
      <c r="A34" s="406"/>
      <c r="B34" s="406"/>
      <c r="C34" s="406"/>
      <c r="D34" s="406"/>
      <c r="E34" s="406"/>
      <c r="F34" s="406"/>
      <c r="G34" s="406"/>
      <c r="H34" s="406"/>
      <c r="I34" s="406"/>
      <c r="J34" s="406"/>
      <c r="K34" s="406"/>
      <c r="L34" s="406"/>
      <c r="M34" s="406"/>
    </row>
    <row r="35" spans="1:13" s="405" customFormat="1" ht="18" customHeight="1">
      <c r="A35" s="406"/>
      <c r="B35" s="406"/>
      <c r="C35" s="406"/>
      <c r="D35" s="406"/>
      <c r="E35" s="406"/>
      <c r="F35" s="406"/>
      <c r="G35" s="406"/>
      <c r="H35" s="406"/>
      <c r="I35" s="406"/>
      <c r="J35" s="406"/>
      <c r="K35" s="406"/>
      <c r="L35" s="406"/>
      <c r="M35" s="406"/>
    </row>
    <row r="36" spans="1:13" s="405" customFormat="1" ht="18" customHeight="1">
      <c r="A36" s="406"/>
      <c r="B36" s="406"/>
      <c r="C36" s="406"/>
      <c r="D36" s="406"/>
      <c r="E36" s="406"/>
      <c r="F36" s="406"/>
      <c r="G36" s="406"/>
      <c r="H36" s="406"/>
      <c r="I36" s="406"/>
      <c r="J36" s="406"/>
      <c r="K36" s="406"/>
      <c r="L36" s="406"/>
      <c r="M36" s="406"/>
    </row>
    <row r="37" spans="1:13" s="405" customFormat="1" ht="18" customHeight="1">
      <c r="A37" s="406"/>
      <c r="B37" s="406"/>
      <c r="C37" s="406"/>
      <c r="D37" s="406"/>
      <c r="E37" s="406"/>
      <c r="F37" s="406"/>
      <c r="G37" s="406"/>
      <c r="H37" s="406"/>
      <c r="I37" s="406"/>
      <c r="J37" s="406"/>
      <c r="K37" s="406"/>
      <c r="L37" s="406"/>
      <c r="M37" s="406"/>
    </row>
    <row r="38" spans="1:13" s="405" customFormat="1" ht="18" customHeight="1">
      <c r="A38" s="406"/>
      <c r="B38" s="406"/>
      <c r="C38" s="406"/>
      <c r="D38" s="406"/>
      <c r="E38" s="406"/>
      <c r="F38" s="406"/>
      <c r="G38" s="406"/>
      <c r="H38" s="406"/>
      <c r="I38" s="406"/>
      <c r="J38" s="406"/>
      <c r="K38" s="406"/>
      <c r="L38" s="406"/>
      <c r="M38" s="406"/>
    </row>
    <row r="39" spans="1:13" s="405" customFormat="1" ht="18" customHeight="1">
      <c r="A39" s="406"/>
      <c r="B39" s="406"/>
      <c r="C39" s="406"/>
      <c r="D39" s="406"/>
      <c r="E39" s="406"/>
      <c r="F39" s="406"/>
      <c r="G39" s="406"/>
      <c r="H39" s="406"/>
      <c r="I39" s="406"/>
      <c r="J39" s="406"/>
      <c r="K39" s="406"/>
      <c r="L39" s="406"/>
      <c r="M39" s="406"/>
    </row>
    <row r="40" spans="1:13" s="405" customFormat="1" ht="18" customHeight="1">
      <c r="A40" s="406"/>
      <c r="B40" s="406"/>
      <c r="C40" s="406"/>
      <c r="D40" s="406"/>
      <c r="E40" s="406"/>
      <c r="F40" s="406"/>
      <c r="G40" s="406"/>
      <c r="H40" s="406"/>
      <c r="I40" s="406"/>
      <c r="J40" s="406"/>
      <c r="K40" s="406"/>
      <c r="L40" s="406"/>
      <c r="M40" s="406"/>
    </row>
    <row r="41" spans="1:13" s="405" customFormat="1" ht="18" customHeight="1">
      <c r="A41" s="406"/>
      <c r="B41" s="406"/>
      <c r="C41" s="406"/>
      <c r="D41" s="406"/>
      <c r="E41" s="406"/>
      <c r="F41" s="406"/>
      <c r="G41" s="406"/>
      <c r="H41" s="406"/>
      <c r="I41" s="406"/>
      <c r="J41" s="406"/>
      <c r="K41" s="406"/>
      <c r="L41" s="406"/>
      <c r="M41" s="406"/>
    </row>
    <row r="42" spans="1:13" s="405" customFormat="1" ht="18" customHeight="1">
      <c r="A42" s="406"/>
      <c r="B42" s="406"/>
      <c r="C42" s="406"/>
      <c r="D42" s="406"/>
      <c r="E42" s="406"/>
      <c r="F42" s="406"/>
      <c r="G42" s="406"/>
      <c r="H42" s="406"/>
      <c r="I42" s="406"/>
      <c r="J42" s="406"/>
      <c r="K42" s="406"/>
      <c r="L42" s="406"/>
      <c r="M42" s="406"/>
    </row>
    <row r="43" spans="1:13" s="405" customFormat="1" ht="18" customHeight="1">
      <c r="A43" s="406"/>
      <c r="B43" s="406"/>
      <c r="C43" s="406"/>
      <c r="D43" s="406"/>
      <c r="E43" s="406"/>
      <c r="F43" s="406"/>
      <c r="G43" s="406"/>
      <c r="H43" s="406"/>
      <c r="I43" s="406"/>
      <c r="J43" s="406"/>
      <c r="K43" s="406"/>
      <c r="L43" s="406"/>
      <c r="M43" s="406"/>
    </row>
    <row r="44" spans="1:13" s="405" customFormat="1" ht="18" customHeight="1">
      <c r="A44" s="406"/>
      <c r="B44" s="406"/>
      <c r="C44" s="406"/>
      <c r="D44" s="406"/>
      <c r="E44" s="406"/>
      <c r="F44" s="406"/>
      <c r="G44" s="406"/>
      <c r="H44" s="406"/>
      <c r="I44" s="406"/>
      <c r="J44" s="406"/>
      <c r="K44" s="406"/>
      <c r="L44" s="406"/>
      <c r="M44" s="406"/>
    </row>
    <row r="45" spans="1:13" s="405" customFormat="1" ht="18" customHeight="1">
      <c r="A45" s="406"/>
      <c r="B45" s="406"/>
      <c r="C45" s="406"/>
      <c r="D45" s="406"/>
      <c r="E45" s="406"/>
      <c r="F45" s="406"/>
      <c r="G45" s="406"/>
      <c r="H45" s="406"/>
      <c r="I45" s="406"/>
      <c r="J45" s="406"/>
      <c r="K45" s="406"/>
      <c r="L45" s="406"/>
      <c r="M45" s="406"/>
    </row>
    <row r="46" spans="1:13" s="405" customFormat="1" ht="18" customHeight="1">
      <c r="A46" s="406"/>
      <c r="B46" s="406"/>
      <c r="C46" s="406"/>
      <c r="D46" s="406"/>
      <c r="E46" s="406"/>
      <c r="F46" s="406"/>
      <c r="G46" s="406"/>
      <c r="H46" s="406"/>
      <c r="I46" s="406"/>
      <c r="J46" s="406"/>
      <c r="K46" s="406"/>
      <c r="L46" s="406"/>
      <c r="M46" s="406"/>
    </row>
    <row r="47" spans="1:13" s="405" customFormat="1" ht="18" customHeight="1">
      <c r="A47" s="406"/>
      <c r="B47" s="406"/>
      <c r="C47" s="406"/>
      <c r="D47" s="406"/>
      <c r="E47" s="406"/>
      <c r="F47" s="406"/>
      <c r="G47" s="406"/>
      <c r="H47" s="406"/>
      <c r="I47" s="406"/>
      <c r="J47" s="406"/>
      <c r="K47" s="406"/>
      <c r="L47" s="406"/>
      <c r="M47" s="406"/>
    </row>
    <row r="48" spans="1:13" s="405" customFormat="1" ht="18" customHeight="1">
      <c r="A48" s="406"/>
      <c r="B48" s="406"/>
      <c r="C48" s="406"/>
      <c r="D48" s="406"/>
      <c r="E48" s="406"/>
      <c r="F48" s="406"/>
      <c r="G48" s="406"/>
      <c r="H48" s="406"/>
      <c r="I48" s="406"/>
      <c r="J48" s="406"/>
      <c r="K48" s="406"/>
      <c r="L48" s="406"/>
      <c r="M48" s="406"/>
    </row>
    <row r="49" spans="1:13" s="405" customFormat="1" ht="18" customHeight="1">
      <c r="A49" s="406"/>
      <c r="B49" s="406"/>
      <c r="C49" s="406"/>
      <c r="D49" s="406"/>
      <c r="E49" s="406"/>
      <c r="F49" s="406"/>
      <c r="G49" s="406"/>
      <c r="H49" s="406"/>
      <c r="I49" s="406"/>
      <c r="J49" s="406"/>
      <c r="K49" s="406"/>
      <c r="L49" s="406"/>
      <c r="M49" s="406"/>
    </row>
    <row r="50" spans="1:13" s="405" customFormat="1" ht="18" customHeight="1">
      <c r="A50" s="406"/>
      <c r="B50" s="406"/>
      <c r="C50" s="406"/>
      <c r="D50" s="406"/>
      <c r="E50" s="406"/>
      <c r="F50" s="406"/>
      <c r="G50" s="406"/>
      <c r="H50" s="406"/>
      <c r="I50" s="406"/>
      <c r="J50" s="406"/>
      <c r="K50" s="406"/>
      <c r="L50" s="406"/>
      <c r="M50" s="406"/>
    </row>
    <row r="51" spans="1:13" s="405" customFormat="1" ht="18" customHeight="1">
      <c r="A51" s="406"/>
      <c r="B51" s="406"/>
      <c r="C51" s="406"/>
      <c r="D51" s="406"/>
      <c r="E51" s="406"/>
      <c r="F51" s="406"/>
      <c r="G51" s="406"/>
      <c r="H51" s="406"/>
      <c r="I51" s="406"/>
      <c r="J51" s="406"/>
      <c r="K51" s="406"/>
      <c r="L51" s="406"/>
      <c r="M51" s="406"/>
    </row>
    <row r="52" spans="1:13" s="405" customFormat="1" ht="18" customHeight="1">
      <c r="A52" s="406"/>
      <c r="B52" s="406"/>
      <c r="C52" s="406"/>
      <c r="D52" s="406"/>
      <c r="E52" s="406"/>
      <c r="F52" s="406"/>
      <c r="G52" s="406"/>
      <c r="H52" s="406"/>
      <c r="I52" s="406"/>
      <c r="J52" s="406"/>
      <c r="K52" s="406"/>
      <c r="L52" s="406"/>
      <c r="M52" s="406"/>
    </row>
    <row r="53" spans="1:13" s="405" customFormat="1" ht="18" customHeight="1">
      <c r="A53" s="406"/>
      <c r="B53" s="406"/>
      <c r="C53" s="406"/>
      <c r="D53" s="406"/>
      <c r="E53" s="406"/>
      <c r="F53" s="406"/>
      <c r="G53" s="406"/>
      <c r="H53" s="406"/>
      <c r="I53" s="406"/>
      <c r="J53" s="406"/>
      <c r="K53" s="406"/>
      <c r="L53" s="406"/>
      <c r="M53" s="406"/>
    </row>
    <row r="54" spans="1:13" s="405" customFormat="1" ht="18" customHeight="1">
      <c r="A54" s="406"/>
      <c r="B54" s="406"/>
      <c r="C54" s="406"/>
      <c r="D54" s="406"/>
      <c r="E54" s="406"/>
      <c r="F54" s="406"/>
      <c r="G54" s="406"/>
      <c r="H54" s="406"/>
      <c r="I54" s="406"/>
      <c r="J54" s="406"/>
      <c r="K54" s="406"/>
      <c r="L54" s="406"/>
      <c r="M54" s="406"/>
    </row>
    <row r="55" spans="1:13" ht="18" customHeight="1"/>
    <row r="56" spans="1:13" ht="18" customHeight="1"/>
  </sheetData>
  <mergeCells count="30">
    <mergeCell ref="A1:M1"/>
    <mergeCell ref="D2:E2"/>
    <mergeCell ref="L2:M2"/>
    <mergeCell ref="A3:A4"/>
    <mergeCell ref="C3:C4"/>
    <mergeCell ref="D3:D4"/>
    <mergeCell ref="E3:F3"/>
    <mergeCell ref="G3:H3"/>
    <mergeCell ref="I3:J3"/>
    <mergeCell ref="K3:L3"/>
    <mergeCell ref="A15:A16"/>
    <mergeCell ref="M3:M4"/>
    <mergeCell ref="A5:A6"/>
    <mergeCell ref="B5:B6"/>
    <mergeCell ref="A7:A8"/>
    <mergeCell ref="B7:B8"/>
    <mergeCell ref="B15:B16"/>
    <mergeCell ref="A9:A10"/>
    <mergeCell ref="B9:B10"/>
    <mergeCell ref="A11:A12"/>
    <mergeCell ref="B11:B12"/>
    <mergeCell ref="A13:A14"/>
    <mergeCell ref="B13:B14"/>
    <mergeCell ref="B17:B18"/>
    <mergeCell ref="B21:B22"/>
    <mergeCell ref="A19:A22"/>
    <mergeCell ref="B19:B20"/>
    <mergeCell ref="A23:A24"/>
    <mergeCell ref="B23:B24"/>
    <mergeCell ref="A17:A18"/>
  </mergeCells>
  <phoneticPr fontId="3" type="noConversion"/>
  <printOptions horizontalCentered="1"/>
  <pageMargins left="0.47" right="0.4" top="0.93" bottom="0.72" header="0.51181102362204722" footer="0.51181102362204722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O32"/>
  <sheetViews>
    <sheetView view="pageBreakPreview" zoomScaleNormal="100" zoomScaleSheetLayoutView="100" workbookViewId="0">
      <selection activeCell="A2" sqref="A2"/>
    </sheetView>
  </sheetViews>
  <sheetFormatPr defaultColWidth="8.88671875" defaultRowHeight="13.5"/>
  <cols>
    <col min="1" max="1" width="15.33203125" style="406" customWidth="1"/>
    <col min="2" max="2" width="15" style="406" bestFit="1" customWidth="1"/>
    <col min="3" max="3" width="9.44140625" style="406" customWidth="1"/>
    <col min="4" max="4" width="5" style="406" customWidth="1"/>
    <col min="5" max="5" width="8.109375" style="406" customWidth="1"/>
    <col min="6" max="6" width="10.77734375" style="406" customWidth="1"/>
    <col min="7" max="7" width="7.5546875" style="406" customWidth="1"/>
    <col min="8" max="8" width="10.77734375" style="406" customWidth="1"/>
    <col min="9" max="9" width="7.6640625" style="406" customWidth="1"/>
    <col min="10" max="10" width="10.77734375" style="406" customWidth="1"/>
    <col min="11" max="11" width="7.77734375" style="406" customWidth="1"/>
    <col min="12" max="12" width="10.77734375" style="406" customWidth="1"/>
    <col min="13" max="13" width="5.77734375" style="406" customWidth="1"/>
    <col min="14" max="16384" width="8.88671875" style="406"/>
  </cols>
  <sheetData>
    <row r="1" spans="1:13" s="400" customFormat="1" ht="35.25" customHeight="1">
      <c r="A1" s="1020" t="str">
        <f>사업개요!C3</f>
        <v>2026년 금정용수지선 외 6개소 보수보강 공사</v>
      </c>
      <c r="B1" s="1020"/>
      <c r="C1" s="1020"/>
      <c r="D1" s="1020"/>
      <c r="E1" s="1020"/>
      <c r="F1" s="1020"/>
      <c r="G1" s="1020"/>
      <c r="H1" s="1020"/>
      <c r="I1" s="1020"/>
      <c r="J1" s="1020"/>
      <c r="K1" s="1020"/>
      <c r="L1" s="1020"/>
      <c r="M1" s="1020"/>
    </row>
    <row r="2" spans="1:13" s="400" customFormat="1" ht="14.25" customHeight="1">
      <c r="A2" s="522"/>
      <c r="B2" s="436"/>
      <c r="C2" s="401"/>
      <c r="D2" s="1017"/>
      <c r="E2" s="1017"/>
      <c r="F2" s="402"/>
      <c r="I2" s="403"/>
      <c r="K2" s="404"/>
      <c r="L2" s="1080" t="s">
        <v>1827</v>
      </c>
      <c r="M2" s="1080"/>
    </row>
    <row r="3" spans="1:13" s="405" customFormat="1" ht="15" customHeight="1">
      <c r="A3" s="1078" t="s">
        <v>2504</v>
      </c>
      <c r="B3" s="685" t="s">
        <v>2394</v>
      </c>
      <c r="C3" s="1078" t="s">
        <v>1829</v>
      </c>
      <c r="D3" s="1078" t="s">
        <v>1830</v>
      </c>
      <c r="E3" s="1081" t="s">
        <v>2393</v>
      </c>
      <c r="F3" s="1082"/>
      <c r="G3" s="1081" t="s">
        <v>47</v>
      </c>
      <c r="H3" s="1082"/>
      <c r="I3" s="1081" t="s">
        <v>48</v>
      </c>
      <c r="J3" s="1082"/>
      <c r="K3" s="1081" t="s">
        <v>2392</v>
      </c>
      <c r="L3" s="1082"/>
      <c r="M3" s="1058" t="s">
        <v>1833</v>
      </c>
    </row>
    <row r="4" spans="1:13" s="405" customFormat="1" ht="15" customHeight="1">
      <c r="A4" s="1078"/>
      <c r="B4" s="769" t="s">
        <v>2395</v>
      </c>
      <c r="C4" s="1078"/>
      <c r="D4" s="1078"/>
      <c r="E4" s="686" t="s">
        <v>1834</v>
      </c>
      <c r="F4" s="686" t="s">
        <v>1835</v>
      </c>
      <c r="G4" s="686" t="s">
        <v>1834</v>
      </c>
      <c r="H4" s="686" t="s">
        <v>1835</v>
      </c>
      <c r="I4" s="686" t="s">
        <v>1834</v>
      </c>
      <c r="J4" s="686" t="s">
        <v>1835</v>
      </c>
      <c r="K4" s="686" t="s">
        <v>1834</v>
      </c>
      <c r="L4" s="686" t="s">
        <v>1835</v>
      </c>
      <c r="M4" s="1079"/>
    </row>
    <row r="5" spans="1:13" s="405" customFormat="1" ht="15" customHeight="1">
      <c r="A5" s="698" t="str">
        <f>재료집계표!A9</f>
        <v>터파기</v>
      </c>
      <c r="B5" s="878" t="str">
        <f>재료집계표!B9</f>
        <v>기계</v>
      </c>
      <c r="C5" s="688">
        <f>재료집계표!K9</f>
        <v>488.74999999999989</v>
      </c>
      <c r="D5" s="689" t="str">
        <f>재료집계표!C9</f>
        <v>㎥</v>
      </c>
      <c r="E5" s="690">
        <f t="shared" ref="E5:F10" si="0">SUM(G5,I5,K5)</f>
        <v>1954</v>
      </c>
      <c r="F5" s="690">
        <f t="shared" si="0"/>
        <v>955016</v>
      </c>
      <c r="G5" s="690">
        <f>단가일람!F5</f>
        <v>1415</v>
      </c>
      <c r="H5" s="691">
        <f t="shared" ref="H5:H10" si="1">TRUNC(G5*$C5,0)</f>
        <v>691581</v>
      </c>
      <c r="I5" s="690">
        <f>단가일람!G5</f>
        <v>229</v>
      </c>
      <c r="J5" s="691">
        <f t="shared" ref="J5:J10" si="2">TRUNC(I5*$C5,0)</f>
        <v>111923</v>
      </c>
      <c r="K5" s="690">
        <f>단가일람!H5</f>
        <v>310</v>
      </c>
      <c r="L5" s="691">
        <f t="shared" ref="L5:L10" si="3">TRUNC(K5*$C5,0)</f>
        <v>151512</v>
      </c>
      <c r="M5" s="699"/>
    </row>
    <row r="6" spans="1:13" s="405" customFormat="1" ht="15" customHeight="1">
      <c r="A6" s="692"/>
      <c r="B6" s="879"/>
      <c r="C6" s="693">
        <f>재료집계표!K10</f>
        <v>488.74999999999989</v>
      </c>
      <c r="D6" s="694" t="str">
        <f>D5</f>
        <v>㎥</v>
      </c>
      <c r="E6" s="695">
        <f t="shared" si="0"/>
        <v>1954</v>
      </c>
      <c r="F6" s="695">
        <f t="shared" si="0"/>
        <v>955016</v>
      </c>
      <c r="G6" s="695">
        <f>G5</f>
        <v>1415</v>
      </c>
      <c r="H6" s="696">
        <f t="shared" si="1"/>
        <v>691581</v>
      </c>
      <c r="I6" s="695">
        <f>I5</f>
        <v>229</v>
      </c>
      <c r="J6" s="696">
        <f t="shared" si="2"/>
        <v>111923</v>
      </c>
      <c r="K6" s="695">
        <f>K5</f>
        <v>310</v>
      </c>
      <c r="L6" s="696">
        <f t="shared" si="3"/>
        <v>151512</v>
      </c>
      <c r="M6" s="697"/>
    </row>
    <row r="7" spans="1:13" s="405" customFormat="1" ht="15" customHeight="1">
      <c r="A7" s="698" t="str">
        <f>재료집계표!A11</f>
        <v>되메움</v>
      </c>
      <c r="B7" s="882" t="str">
        <f>재료집계표!B11</f>
        <v>기계</v>
      </c>
      <c r="C7" s="688">
        <f>재료집계표!K11</f>
        <v>317.74999999999994</v>
      </c>
      <c r="D7" s="689" t="str">
        <f>재료집계표!C11</f>
        <v>㎥</v>
      </c>
      <c r="E7" s="690">
        <f t="shared" si="0"/>
        <v>1262</v>
      </c>
      <c r="F7" s="690">
        <f t="shared" si="0"/>
        <v>400999</v>
      </c>
      <c r="G7" s="690">
        <f>단가일람!F8</f>
        <v>720</v>
      </c>
      <c r="H7" s="691">
        <f t="shared" si="1"/>
        <v>228780</v>
      </c>
      <c r="I7" s="690">
        <f>단가일람!G8</f>
        <v>273</v>
      </c>
      <c r="J7" s="691">
        <f t="shared" si="2"/>
        <v>86745</v>
      </c>
      <c r="K7" s="690">
        <f>단가일람!H8</f>
        <v>269</v>
      </c>
      <c r="L7" s="691">
        <f t="shared" si="3"/>
        <v>85474</v>
      </c>
      <c r="M7" s="699"/>
    </row>
    <row r="8" spans="1:13" s="405" customFormat="1" ht="15" customHeight="1">
      <c r="A8" s="692"/>
      <c r="B8" s="879"/>
      <c r="C8" s="693">
        <f>재료집계표!K12</f>
        <v>317.74999999999994</v>
      </c>
      <c r="D8" s="694" t="str">
        <f>D7</f>
        <v>㎥</v>
      </c>
      <c r="E8" s="695">
        <f t="shared" si="0"/>
        <v>1262</v>
      </c>
      <c r="F8" s="695">
        <f t="shared" si="0"/>
        <v>400999</v>
      </c>
      <c r="G8" s="695">
        <f>G7</f>
        <v>720</v>
      </c>
      <c r="H8" s="696">
        <f t="shared" si="1"/>
        <v>228780</v>
      </c>
      <c r="I8" s="695">
        <f>I7</f>
        <v>273</v>
      </c>
      <c r="J8" s="696">
        <f t="shared" si="2"/>
        <v>86745</v>
      </c>
      <c r="K8" s="695">
        <f>K7</f>
        <v>269</v>
      </c>
      <c r="L8" s="696">
        <f t="shared" si="3"/>
        <v>85474</v>
      </c>
      <c r="M8" s="697"/>
    </row>
    <row r="9" spans="1:13" s="405" customFormat="1" ht="15" customHeight="1">
      <c r="A9" s="698" t="str">
        <f>재료집계표!A13</f>
        <v>잔토처리</v>
      </c>
      <c r="B9" s="882" t="s">
        <v>1692</v>
      </c>
      <c r="C9" s="688">
        <f>재료집계표!K13</f>
        <v>171</v>
      </c>
      <c r="D9" s="689" t="str">
        <f>재료집계표!C13</f>
        <v>㎥</v>
      </c>
      <c r="E9" s="690">
        <f t="shared" si="0"/>
        <v>1262</v>
      </c>
      <c r="F9" s="690">
        <f t="shared" si="0"/>
        <v>215802</v>
      </c>
      <c r="G9" s="690">
        <f>단가일람!F9</f>
        <v>720</v>
      </c>
      <c r="H9" s="691">
        <f t="shared" si="1"/>
        <v>123120</v>
      </c>
      <c r="I9" s="690">
        <f>단가일람!G8</f>
        <v>273</v>
      </c>
      <c r="J9" s="691">
        <f t="shared" si="2"/>
        <v>46683</v>
      </c>
      <c r="K9" s="690">
        <f>단가일람!H8</f>
        <v>269</v>
      </c>
      <c r="L9" s="691">
        <f t="shared" si="3"/>
        <v>45999</v>
      </c>
      <c r="M9" s="699"/>
    </row>
    <row r="10" spans="1:13" s="405" customFormat="1" ht="15" customHeight="1">
      <c r="A10" s="692"/>
      <c r="B10" s="879"/>
      <c r="C10" s="693">
        <f>재료집계표!K14</f>
        <v>171</v>
      </c>
      <c r="D10" s="694" t="str">
        <f>D9</f>
        <v>㎥</v>
      </c>
      <c r="E10" s="695">
        <f t="shared" si="0"/>
        <v>1262</v>
      </c>
      <c r="F10" s="695">
        <f t="shared" si="0"/>
        <v>215802</v>
      </c>
      <c r="G10" s="695">
        <f>G9</f>
        <v>720</v>
      </c>
      <c r="H10" s="696">
        <f t="shared" si="1"/>
        <v>123120</v>
      </c>
      <c r="I10" s="695">
        <f>I9</f>
        <v>273</v>
      </c>
      <c r="J10" s="696">
        <f t="shared" si="2"/>
        <v>46683</v>
      </c>
      <c r="K10" s="695">
        <f>K9</f>
        <v>269</v>
      </c>
      <c r="L10" s="696">
        <f t="shared" si="3"/>
        <v>45999</v>
      </c>
      <c r="M10" s="697"/>
    </row>
    <row r="11" spans="1:13" s="405" customFormat="1" ht="15" customHeight="1">
      <c r="A11" s="698" t="str">
        <f>재료집계표!A15</f>
        <v>수로관 설치 및 해체</v>
      </c>
      <c r="B11" s="878" t="str">
        <f>재료집계표!B15</f>
        <v>800C</v>
      </c>
      <c r="C11" s="688">
        <f>재료집계표!K15</f>
        <v>10</v>
      </c>
      <c r="D11" s="689" t="str">
        <f>재료집계표!C15</f>
        <v>m</v>
      </c>
      <c r="E11" s="690">
        <f>SUM(G11,I11,K11)</f>
        <v>90905</v>
      </c>
      <c r="F11" s="690">
        <f>SUM(H11,J11,L11)</f>
        <v>909050</v>
      </c>
      <c r="G11" s="690">
        <f>단가일람!F38+단가일람!F39</f>
        <v>78417</v>
      </c>
      <c r="H11" s="691">
        <f t="shared" ref="H11:H18" si="4">TRUNC(G11*$C11,0)</f>
        <v>784170</v>
      </c>
      <c r="I11" s="690">
        <f>단가일람!G38+단가일람!G39</f>
        <v>5158</v>
      </c>
      <c r="J11" s="691">
        <f t="shared" ref="J11:J18" si="5">TRUNC(I11*$C11,0)</f>
        <v>51580</v>
      </c>
      <c r="K11" s="690">
        <f>단가일람!H38+단가일람!H39</f>
        <v>7330</v>
      </c>
      <c r="L11" s="691">
        <f t="shared" ref="L11:L18" si="6">TRUNC(K11*$C11,0)</f>
        <v>73300</v>
      </c>
      <c r="M11" s="699"/>
    </row>
    <row r="12" spans="1:13" s="405" customFormat="1" ht="15" customHeight="1">
      <c r="A12" s="692"/>
      <c r="B12" s="879"/>
      <c r="C12" s="693">
        <f>재료집계표!K16</f>
        <v>10</v>
      </c>
      <c r="D12" s="694" t="str">
        <f>D11</f>
        <v>m</v>
      </c>
      <c r="E12" s="695">
        <f>SUM(G12,I12,K12)</f>
        <v>90905</v>
      </c>
      <c r="F12" s="695">
        <f>SUM(H12,J12,L12)</f>
        <v>909050</v>
      </c>
      <c r="G12" s="695">
        <f>G11</f>
        <v>78417</v>
      </c>
      <c r="H12" s="696">
        <f t="shared" si="4"/>
        <v>784170</v>
      </c>
      <c r="I12" s="695">
        <f>I11</f>
        <v>5158</v>
      </c>
      <c r="J12" s="696">
        <f t="shared" si="5"/>
        <v>51580</v>
      </c>
      <c r="K12" s="695">
        <f>K11</f>
        <v>7330</v>
      </c>
      <c r="L12" s="696">
        <f t="shared" si="6"/>
        <v>73300</v>
      </c>
      <c r="M12" s="697"/>
    </row>
    <row r="13" spans="1:13" s="405" customFormat="1" ht="15" customHeight="1">
      <c r="A13" s="698" t="str">
        <f>재료집계표!A17</f>
        <v>PE관 부설접합(버트융착식)</v>
      </c>
      <c r="B13" s="881" t="str">
        <f>재료집계표!B17</f>
        <v>D=100</v>
      </c>
      <c r="C13" s="688">
        <f>재료집계표!K17</f>
        <v>36</v>
      </c>
      <c r="D13" s="689" t="str">
        <f>재료집계표!C21</f>
        <v>m</v>
      </c>
      <c r="E13" s="690">
        <f t="shared" ref="E13:F18" si="7">SUM(G13,I13,K13)</f>
        <v>24948</v>
      </c>
      <c r="F13" s="690">
        <f t="shared" si="7"/>
        <v>898128</v>
      </c>
      <c r="G13" s="690">
        <f>단가일람!F138</f>
        <v>12911</v>
      </c>
      <c r="H13" s="691">
        <f t="shared" si="4"/>
        <v>464796</v>
      </c>
      <c r="I13" s="690">
        <f>단가일람!G138</f>
        <v>10230</v>
      </c>
      <c r="J13" s="691">
        <f t="shared" si="5"/>
        <v>368280</v>
      </c>
      <c r="K13" s="690">
        <f>단가일람!H138</f>
        <v>1807</v>
      </c>
      <c r="L13" s="691">
        <f t="shared" si="6"/>
        <v>65052</v>
      </c>
      <c r="M13" s="699"/>
    </row>
    <row r="14" spans="1:13" s="405" customFormat="1" ht="15" customHeight="1">
      <c r="A14" s="687"/>
      <c r="B14" s="880"/>
      <c r="C14" s="693">
        <f>C13</f>
        <v>36</v>
      </c>
      <c r="D14" s="694" t="str">
        <f>D13</f>
        <v>m</v>
      </c>
      <c r="E14" s="695">
        <f t="shared" si="7"/>
        <v>24948</v>
      </c>
      <c r="F14" s="695">
        <f t="shared" si="7"/>
        <v>898128</v>
      </c>
      <c r="G14" s="695">
        <f>G13</f>
        <v>12911</v>
      </c>
      <c r="H14" s="696">
        <f t="shared" si="4"/>
        <v>464796</v>
      </c>
      <c r="I14" s="695">
        <f>I13</f>
        <v>10230</v>
      </c>
      <c r="J14" s="696">
        <f t="shared" si="5"/>
        <v>368280</v>
      </c>
      <c r="K14" s="695">
        <f>K13</f>
        <v>1807</v>
      </c>
      <c r="L14" s="696">
        <f t="shared" si="6"/>
        <v>65052</v>
      </c>
      <c r="M14" s="697"/>
    </row>
    <row r="15" spans="1:13" s="405" customFormat="1" ht="15" customHeight="1">
      <c r="A15" s="698" t="str">
        <f>재료집계표!A19</f>
        <v>유공관</v>
      </c>
      <c r="B15" s="881" t="str">
        <f>재료집계표!B19</f>
        <v>D=150</v>
      </c>
      <c r="C15" s="688">
        <f>재료집계표!K19</f>
        <v>24</v>
      </c>
      <c r="D15" s="689">
        <f>재료집계표!K19</f>
        <v>24</v>
      </c>
      <c r="E15" s="690">
        <f t="shared" si="7"/>
        <v>48522</v>
      </c>
      <c r="F15" s="690">
        <f t="shared" si="7"/>
        <v>1164528</v>
      </c>
      <c r="G15" s="690">
        <f>단가일람!F142</f>
        <v>29579</v>
      </c>
      <c r="H15" s="691">
        <f t="shared" si="4"/>
        <v>709896</v>
      </c>
      <c r="I15" s="690">
        <f>단가일람!G142</f>
        <v>18557</v>
      </c>
      <c r="J15" s="691">
        <f t="shared" si="5"/>
        <v>445368</v>
      </c>
      <c r="K15" s="690">
        <f>단가일람!H142</f>
        <v>386</v>
      </c>
      <c r="L15" s="691">
        <f t="shared" si="6"/>
        <v>9264</v>
      </c>
      <c r="M15" s="699"/>
    </row>
    <row r="16" spans="1:13" s="405" customFormat="1" ht="15" customHeight="1">
      <c r="A16" s="687"/>
      <c r="B16" s="880"/>
      <c r="C16" s="693">
        <f>C15</f>
        <v>24</v>
      </c>
      <c r="D16" s="694">
        <f>D15</f>
        <v>24</v>
      </c>
      <c r="E16" s="695">
        <f t="shared" si="7"/>
        <v>48522</v>
      </c>
      <c r="F16" s="695">
        <f t="shared" si="7"/>
        <v>1164528</v>
      </c>
      <c r="G16" s="695">
        <f>G15</f>
        <v>29579</v>
      </c>
      <c r="H16" s="696">
        <f t="shared" si="4"/>
        <v>709896</v>
      </c>
      <c r="I16" s="695">
        <f>I15</f>
        <v>18557</v>
      </c>
      <c r="J16" s="696">
        <f t="shared" si="5"/>
        <v>445368</v>
      </c>
      <c r="K16" s="695">
        <f>K15</f>
        <v>386</v>
      </c>
      <c r="L16" s="696">
        <f t="shared" si="6"/>
        <v>9264</v>
      </c>
      <c r="M16" s="697"/>
    </row>
    <row r="17" spans="1:15" s="405" customFormat="1" ht="15" customHeight="1">
      <c r="A17" s="698" t="str">
        <f>재료집계표!A21</f>
        <v>PE관 부설접합(버트융착식)</v>
      </c>
      <c r="B17" s="882" t="str">
        <f>재료집계표!B21</f>
        <v>D=50</v>
      </c>
      <c r="C17" s="688">
        <f>재료집계표!K21</f>
        <v>36</v>
      </c>
      <c r="D17" s="689" t="str">
        <f>재료집계표!C21</f>
        <v>m</v>
      </c>
      <c r="E17" s="690">
        <f t="shared" si="7"/>
        <v>9206</v>
      </c>
      <c r="F17" s="690">
        <f t="shared" si="7"/>
        <v>331416</v>
      </c>
      <c r="G17" s="690">
        <f>단가일람!F137</f>
        <v>5809</v>
      </c>
      <c r="H17" s="691">
        <f t="shared" si="4"/>
        <v>209124</v>
      </c>
      <c r="I17" s="690">
        <f>단가일람!G137</f>
        <v>2700</v>
      </c>
      <c r="J17" s="691">
        <f t="shared" si="5"/>
        <v>97200</v>
      </c>
      <c r="K17" s="690">
        <f>단가일람!H137</f>
        <v>697</v>
      </c>
      <c r="L17" s="691">
        <f t="shared" si="6"/>
        <v>25092</v>
      </c>
      <c r="M17" s="699"/>
    </row>
    <row r="18" spans="1:15" s="405" customFormat="1" ht="15" customHeight="1">
      <c r="A18" s="692"/>
      <c r="B18" s="879"/>
      <c r="C18" s="693">
        <f>재료집계표!K22</f>
        <v>36</v>
      </c>
      <c r="D18" s="694" t="str">
        <f>D17</f>
        <v>m</v>
      </c>
      <c r="E18" s="695">
        <f t="shared" si="7"/>
        <v>9206</v>
      </c>
      <c r="F18" s="695">
        <f t="shared" si="7"/>
        <v>331416</v>
      </c>
      <c r="G18" s="695">
        <f>G17</f>
        <v>5809</v>
      </c>
      <c r="H18" s="696">
        <f t="shared" si="4"/>
        <v>209124</v>
      </c>
      <c r="I18" s="695">
        <f>I17</f>
        <v>2700</v>
      </c>
      <c r="J18" s="696">
        <f t="shared" si="5"/>
        <v>97200</v>
      </c>
      <c r="K18" s="695">
        <f>K17</f>
        <v>697</v>
      </c>
      <c r="L18" s="696">
        <f t="shared" si="6"/>
        <v>25092</v>
      </c>
      <c r="M18" s="697"/>
    </row>
    <row r="19" spans="1:15" s="405" customFormat="1" ht="15" customHeight="1">
      <c r="A19" s="698" t="str">
        <f>재료집계표!A23</f>
        <v>PE관 부설접합(버트융착식)</v>
      </c>
      <c r="B19" s="881" t="str">
        <f>재료집계표!B23</f>
        <v>D=150</v>
      </c>
      <c r="C19" s="688">
        <f>재료집계표!K23</f>
        <v>72</v>
      </c>
      <c r="D19" s="689" t="str">
        <f>재료집계표!C23</f>
        <v>m</v>
      </c>
      <c r="E19" s="690">
        <f t="shared" ref="E19:E20" si="8">SUM(G19,I19,K19)</f>
        <v>39942</v>
      </c>
      <c r="F19" s="690">
        <f t="shared" ref="F19:F20" si="9">SUM(H19,J19,L19)</f>
        <v>2875824</v>
      </c>
      <c r="G19" s="690">
        <f>단가일람!F139</f>
        <v>16616</v>
      </c>
      <c r="H19" s="691">
        <f t="shared" ref="H19:H20" si="10">TRUNC(G19*$C19,0)</f>
        <v>1196352</v>
      </c>
      <c r="I19" s="690">
        <f>단가일람!G139</f>
        <v>21000</v>
      </c>
      <c r="J19" s="691">
        <f t="shared" ref="J19:J20" si="11">TRUNC(I19*$C19,0)</f>
        <v>1512000</v>
      </c>
      <c r="K19" s="690">
        <f>단가일람!H139</f>
        <v>2326</v>
      </c>
      <c r="L19" s="691">
        <f t="shared" ref="L19:L20" si="12">TRUNC(K19*$C19,0)</f>
        <v>167472</v>
      </c>
      <c r="M19" s="699"/>
    </row>
    <row r="20" spans="1:15" s="405" customFormat="1" ht="15" customHeight="1">
      <c r="A20" s="687"/>
      <c r="B20" s="880"/>
      <c r="C20" s="693">
        <f>C19</f>
        <v>72</v>
      </c>
      <c r="D20" s="694" t="str">
        <f>D19</f>
        <v>m</v>
      </c>
      <c r="E20" s="695">
        <f t="shared" si="8"/>
        <v>39942</v>
      </c>
      <c r="F20" s="695">
        <f t="shared" si="9"/>
        <v>2875824</v>
      </c>
      <c r="G20" s="695">
        <f>G19</f>
        <v>16616</v>
      </c>
      <c r="H20" s="696">
        <f t="shared" si="10"/>
        <v>1196352</v>
      </c>
      <c r="I20" s="695">
        <f>I19</f>
        <v>21000</v>
      </c>
      <c r="J20" s="696">
        <f t="shared" si="11"/>
        <v>1512000</v>
      </c>
      <c r="K20" s="695">
        <f>K19</f>
        <v>2326</v>
      </c>
      <c r="L20" s="696">
        <f t="shared" si="12"/>
        <v>167472</v>
      </c>
      <c r="M20" s="697"/>
    </row>
    <row r="21" spans="1:15" s="405" customFormat="1" ht="15" customHeight="1">
      <c r="A21" s="698" t="str">
        <f>단가일람!B142</f>
        <v>유공관(D150)</v>
      </c>
      <c r="B21" s="881"/>
      <c r="C21" s="688">
        <f>재료집계표!K19</f>
        <v>24</v>
      </c>
      <c r="D21" s="689" t="str">
        <f>재료집계표!C19</f>
        <v>m</v>
      </c>
      <c r="E21" s="690">
        <f t="shared" ref="E21:E22" si="13">SUM(G21,I21,K21)</f>
        <v>94316</v>
      </c>
      <c r="F21" s="690">
        <f t="shared" ref="F21:F22" si="14">SUM(H21,J21,L21)</f>
        <v>2263584</v>
      </c>
      <c r="G21" s="690">
        <f>단가일람!F141</f>
        <v>23240</v>
      </c>
      <c r="H21" s="691">
        <f t="shared" ref="H21:H22" si="15">TRUNC(G21*$C21,0)</f>
        <v>557760</v>
      </c>
      <c r="I21" s="690">
        <f>단가일람!G141</f>
        <v>67590</v>
      </c>
      <c r="J21" s="691">
        <f t="shared" ref="J21:J22" si="16">TRUNC(I21*$C21,0)</f>
        <v>1622160</v>
      </c>
      <c r="K21" s="690">
        <f>단가일람!H141</f>
        <v>3486</v>
      </c>
      <c r="L21" s="691">
        <f t="shared" ref="L21:L22" si="17">TRUNC(K21*$C21,0)</f>
        <v>83664</v>
      </c>
      <c r="M21" s="699"/>
    </row>
    <row r="22" spans="1:15" s="405" customFormat="1" ht="15" customHeight="1">
      <c r="A22" s="687"/>
      <c r="B22" s="880"/>
      <c r="C22" s="693">
        <f>C21</f>
        <v>24</v>
      </c>
      <c r="D22" s="694" t="str">
        <f>D21</f>
        <v>m</v>
      </c>
      <c r="E22" s="695">
        <f t="shared" si="13"/>
        <v>94316</v>
      </c>
      <c r="F22" s="695">
        <f t="shared" si="14"/>
        <v>2263584</v>
      </c>
      <c r="G22" s="695">
        <f>G21</f>
        <v>23240</v>
      </c>
      <c r="H22" s="696">
        <f t="shared" si="15"/>
        <v>557760</v>
      </c>
      <c r="I22" s="695">
        <f>I21</f>
        <v>67590</v>
      </c>
      <c r="J22" s="696">
        <f t="shared" si="16"/>
        <v>1622160</v>
      </c>
      <c r="K22" s="695">
        <f>K21</f>
        <v>3486</v>
      </c>
      <c r="L22" s="696">
        <f t="shared" si="17"/>
        <v>83664</v>
      </c>
      <c r="M22" s="697"/>
    </row>
    <row r="23" spans="1:15" s="405" customFormat="1" ht="15" customHeight="1">
      <c r="A23" s="698" t="str">
        <f>재료집계표!A25</f>
        <v>콘크리트 포장</v>
      </c>
      <c r="B23" s="878" t="str">
        <f>재료집계표!B25</f>
        <v>0.2㎥ 미만</v>
      </c>
      <c r="C23" s="688">
        <f>재료집계표!K25</f>
        <v>6.8000000000000007</v>
      </c>
      <c r="D23" s="689" t="str">
        <f>재료집계표!C25</f>
        <v>㎥</v>
      </c>
      <c r="E23" s="690">
        <f t="shared" ref="E23:E26" si="18">SUM(G23,I23,K23)</f>
        <v>37172</v>
      </c>
      <c r="F23" s="690">
        <f t="shared" ref="F23:F26" si="19">SUM(H23,J23,L23)</f>
        <v>252769</v>
      </c>
      <c r="G23" s="690">
        <f>단가일람!F14</f>
        <v>14160</v>
      </c>
      <c r="H23" s="691">
        <f t="shared" ref="H23:H26" si="20">TRUNC(G23*$C23,0)</f>
        <v>96288</v>
      </c>
      <c r="I23" s="690">
        <f>단가일람!G14</f>
        <v>23012</v>
      </c>
      <c r="J23" s="691">
        <f t="shared" ref="J23:J26" si="21">TRUNC(I23*$C23,0)</f>
        <v>156481</v>
      </c>
      <c r="K23" s="690">
        <f>단가일람!H14</f>
        <v>0</v>
      </c>
      <c r="L23" s="691">
        <f t="shared" ref="L23:L26" si="22">TRUNC(K23*$C23,0)</f>
        <v>0</v>
      </c>
      <c r="M23" s="699"/>
    </row>
    <row r="24" spans="1:15" s="405" customFormat="1" ht="15" customHeight="1">
      <c r="A24" s="692"/>
      <c r="B24" s="879"/>
      <c r="C24" s="693">
        <f>C23</f>
        <v>6.8000000000000007</v>
      </c>
      <c r="D24" s="694" t="str">
        <f>D23</f>
        <v>㎥</v>
      </c>
      <c r="E24" s="695">
        <f t="shared" si="18"/>
        <v>37172</v>
      </c>
      <c r="F24" s="695">
        <f t="shared" si="19"/>
        <v>252769</v>
      </c>
      <c r="G24" s="695">
        <f>G23</f>
        <v>14160</v>
      </c>
      <c r="H24" s="696">
        <f t="shared" si="20"/>
        <v>96288</v>
      </c>
      <c r="I24" s="695">
        <f>I23</f>
        <v>23012</v>
      </c>
      <c r="J24" s="696">
        <f t="shared" si="21"/>
        <v>156481</v>
      </c>
      <c r="K24" s="695">
        <f>K23</f>
        <v>0</v>
      </c>
      <c r="L24" s="696">
        <f t="shared" si="22"/>
        <v>0</v>
      </c>
      <c r="M24" s="697"/>
    </row>
    <row r="25" spans="1:15" s="405" customFormat="1" ht="15" customHeight="1">
      <c r="A25" s="698" t="str">
        <f>재료집계표!A27</f>
        <v>콘크리트 헐기</v>
      </c>
      <c r="B25" s="878" t="str">
        <f>재료집계표!B27</f>
        <v>0.2㎡</v>
      </c>
      <c r="C25" s="688">
        <f>재료집계표!K27</f>
        <v>9.2000000000000011</v>
      </c>
      <c r="D25" s="689" t="str">
        <f>재료집계표!C27</f>
        <v>㎥</v>
      </c>
      <c r="E25" s="690">
        <f t="shared" si="18"/>
        <v>27436</v>
      </c>
      <c r="F25" s="690">
        <f t="shared" si="19"/>
        <v>252410</v>
      </c>
      <c r="G25" s="690">
        <f>단가일람!F11</f>
        <v>15849</v>
      </c>
      <c r="H25" s="691">
        <f t="shared" si="20"/>
        <v>145810</v>
      </c>
      <c r="I25" s="690">
        <f>단가일람!G11</f>
        <v>4702</v>
      </c>
      <c r="J25" s="691">
        <f t="shared" si="21"/>
        <v>43258</v>
      </c>
      <c r="K25" s="690">
        <f>단가일람!H11</f>
        <v>6885</v>
      </c>
      <c r="L25" s="691">
        <f t="shared" si="22"/>
        <v>63342</v>
      </c>
      <c r="M25" s="699"/>
    </row>
    <row r="26" spans="1:15" s="405" customFormat="1" ht="15" customHeight="1">
      <c r="A26" s="692"/>
      <c r="B26" s="879"/>
      <c r="C26" s="693">
        <f>C25</f>
        <v>9.2000000000000011</v>
      </c>
      <c r="D26" s="694" t="str">
        <f>D25</f>
        <v>㎥</v>
      </c>
      <c r="E26" s="695">
        <f t="shared" si="18"/>
        <v>27436</v>
      </c>
      <c r="F26" s="695">
        <f t="shared" si="19"/>
        <v>252410</v>
      </c>
      <c r="G26" s="695">
        <f>G25</f>
        <v>15849</v>
      </c>
      <c r="H26" s="696">
        <f t="shared" si="20"/>
        <v>145810</v>
      </c>
      <c r="I26" s="695">
        <f>I25</f>
        <v>4702</v>
      </c>
      <c r="J26" s="696">
        <f t="shared" si="21"/>
        <v>43258</v>
      </c>
      <c r="K26" s="695">
        <f>K25</f>
        <v>6885</v>
      </c>
      <c r="L26" s="696">
        <f t="shared" si="22"/>
        <v>63342</v>
      </c>
      <c r="M26" s="697"/>
    </row>
    <row r="27" spans="1:15" s="405" customFormat="1" ht="15" customHeight="1">
      <c r="A27" s="698"/>
      <c r="B27" s="881"/>
      <c r="C27" s="688"/>
      <c r="D27" s="689"/>
      <c r="E27" s="690"/>
      <c r="F27" s="690"/>
      <c r="G27" s="970"/>
      <c r="H27" s="691"/>
      <c r="I27" s="970"/>
      <c r="J27" s="691"/>
      <c r="K27" s="970"/>
      <c r="L27" s="691"/>
      <c r="M27" s="699"/>
    </row>
    <row r="28" spans="1:15" s="405" customFormat="1" ht="15" customHeight="1">
      <c r="A28" s="687"/>
      <c r="B28" s="881"/>
      <c r="C28" s="693"/>
      <c r="D28" s="694"/>
      <c r="E28" s="695"/>
      <c r="F28" s="695"/>
      <c r="G28" s="971"/>
      <c r="H28" s="696"/>
      <c r="I28" s="971"/>
      <c r="J28" s="696"/>
      <c r="K28" s="971"/>
      <c r="L28" s="696"/>
      <c r="M28" s="697"/>
    </row>
    <row r="29" spans="1:15" s="423" customFormat="1" ht="15" customHeight="1">
      <c r="A29" s="1077" t="s">
        <v>2257</v>
      </c>
      <c r="B29" s="1075" t="s">
        <v>2346</v>
      </c>
      <c r="C29" s="700"/>
      <c r="D29" s="586"/>
      <c r="E29" s="701"/>
      <c r="F29" s="702">
        <f>H29+J29+L29</f>
        <v>10519526</v>
      </c>
      <c r="G29" s="702"/>
      <c r="H29" s="703">
        <f>H5+H7+H9+H11+H15+H23+H25+H13+H17+H19+H21+H27</f>
        <v>5207677</v>
      </c>
      <c r="I29" s="702"/>
      <c r="J29" s="703">
        <f>J5+J7+J9+J11+J15+J23+J25+J13+J17+J19+J21+J27</f>
        <v>4541678</v>
      </c>
      <c r="K29" s="702"/>
      <c r="L29" s="703">
        <f>L5+L7+L9+L11+L15+L23+L25+L13+L17+L19+L21+L27</f>
        <v>770171</v>
      </c>
      <c r="M29" s="704"/>
      <c r="N29" s="523"/>
      <c r="O29" s="523"/>
    </row>
    <row r="30" spans="1:15" s="423" customFormat="1" ht="15" customHeight="1">
      <c r="A30" s="1077"/>
      <c r="B30" s="1076"/>
      <c r="C30" s="705" t="s">
        <v>1879</v>
      </c>
      <c r="D30" s="705"/>
      <c r="E30" s="706"/>
      <c r="F30" s="707">
        <f>H30+J30+L30</f>
        <v>10518000</v>
      </c>
      <c r="G30" s="707"/>
      <c r="H30" s="708">
        <f>INT(H29/1000)*1000</f>
        <v>5207000</v>
      </c>
      <c r="I30" s="707"/>
      <c r="J30" s="708">
        <f>INT(J29/1000)*1000</f>
        <v>4541000</v>
      </c>
      <c r="K30" s="707"/>
      <c r="L30" s="708">
        <f>INT(L29/1000)*1000</f>
        <v>770000</v>
      </c>
      <c r="M30" s="709"/>
      <c r="N30" s="523"/>
      <c r="O30" s="523"/>
    </row>
    <row r="31" spans="1:15" s="524" customFormat="1" ht="15" customHeight="1">
      <c r="A31" s="1077"/>
      <c r="B31" s="1074" t="s">
        <v>2259</v>
      </c>
      <c r="C31" s="710"/>
      <c r="D31" s="704"/>
      <c r="E31" s="702"/>
      <c r="F31" s="702">
        <f>H31+J31+L31</f>
        <v>10519526</v>
      </c>
      <c r="G31" s="702"/>
      <c r="H31" s="703">
        <f>H6+H8+H10+H14+H16+H18+H20+H22+H12+H24+H26+H28</f>
        <v>5207677</v>
      </c>
      <c r="I31" s="702"/>
      <c r="J31" s="703">
        <f>J6+J8+J10+J14+J16+J18+J20+J22+J12+J24+J26+J28</f>
        <v>4541678</v>
      </c>
      <c r="K31" s="702"/>
      <c r="L31" s="703">
        <f>L6+L8+L10+L16+L14+L18+L20+L22+L12+L24+L26+L28</f>
        <v>770171</v>
      </c>
      <c r="M31" s="711"/>
      <c r="N31" s="523"/>
      <c r="O31" s="523"/>
    </row>
    <row r="32" spans="1:15" s="524" customFormat="1" ht="15" customHeight="1">
      <c r="A32" s="1077"/>
      <c r="B32" s="1074"/>
      <c r="C32" s="705" t="s">
        <v>1879</v>
      </c>
      <c r="D32" s="709"/>
      <c r="E32" s="707"/>
      <c r="F32" s="707">
        <f>H32+J32+L32</f>
        <v>10518000</v>
      </c>
      <c r="G32" s="707"/>
      <c r="H32" s="708">
        <f>INT(H31/1000)*1000</f>
        <v>5207000</v>
      </c>
      <c r="I32" s="707"/>
      <c r="J32" s="708">
        <f>INT(J31/1000)*1000</f>
        <v>4541000</v>
      </c>
      <c r="K32" s="707"/>
      <c r="L32" s="708">
        <f>INT(L31/1000)*1000</f>
        <v>770000</v>
      </c>
      <c r="M32" s="712"/>
      <c r="N32" s="523"/>
      <c r="O32" s="523"/>
    </row>
  </sheetData>
  <mergeCells count="14">
    <mergeCell ref="B31:B32"/>
    <mergeCell ref="B29:B30"/>
    <mergeCell ref="A29:A32"/>
    <mergeCell ref="A1:M1"/>
    <mergeCell ref="D2:E2"/>
    <mergeCell ref="A3:A4"/>
    <mergeCell ref="C3:C4"/>
    <mergeCell ref="D3:D4"/>
    <mergeCell ref="M3:M4"/>
    <mergeCell ref="L2:M2"/>
    <mergeCell ref="E3:F3"/>
    <mergeCell ref="G3:H3"/>
    <mergeCell ref="I3:J3"/>
    <mergeCell ref="K3:L3"/>
  </mergeCells>
  <phoneticPr fontId="3" type="noConversion"/>
  <printOptions horizontalCentered="1"/>
  <pageMargins left="0.47244094488188981" right="0.39370078740157483" top="0.75" bottom="0.57999999999999996" header="0.51181102362204722" footer="0.51181102362204722"/>
  <pageSetup paperSize="9" scale="6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36"/>
  <sheetViews>
    <sheetView view="pageBreakPreview" zoomScale="85" zoomScaleNormal="100" zoomScaleSheetLayoutView="85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K27" sqref="K27"/>
    </sheetView>
  </sheetViews>
  <sheetFormatPr defaultColWidth="8.88671875" defaultRowHeight="24.95" customHeight="1"/>
  <cols>
    <col min="1" max="1" width="14.6640625" style="407" customWidth="1"/>
    <col min="2" max="2" width="11.77734375" style="407" customWidth="1"/>
    <col min="3" max="3" width="4.44140625" style="407" customWidth="1"/>
    <col min="4" max="11" width="11.77734375" style="407" customWidth="1"/>
    <col min="12" max="12" width="8.88671875" style="407" customWidth="1"/>
    <col min="13" max="13" width="8.88671875" style="407"/>
    <col min="14" max="14" width="9.5546875" style="407" bestFit="1" customWidth="1"/>
    <col min="15" max="16384" width="8.88671875" style="407"/>
  </cols>
  <sheetData>
    <row r="1" spans="1:12" ht="31.5" customHeight="1">
      <c r="A1" s="1083" t="str">
        <f>사업개요!C3</f>
        <v>2026년 금정용수지선 외 6개소 보수보강 공사</v>
      </c>
      <c r="B1" s="1083"/>
      <c r="C1" s="1083"/>
      <c r="D1" s="1083"/>
      <c r="E1" s="1083"/>
      <c r="F1" s="1083"/>
      <c r="G1" s="1083"/>
      <c r="H1" s="1083"/>
      <c r="I1" s="1083"/>
      <c r="J1" s="1083"/>
      <c r="K1" s="1083"/>
      <c r="L1" s="1083"/>
    </row>
    <row r="2" spans="1:12" ht="15" customHeight="1">
      <c r="A2" s="1057" t="s">
        <v>1882</v>
      </c>
      <c r="B2" s="1057"/>
      <c r="C2" s="1057"/>
      <c r="D2" s="577" t="str">
        <f>재료계산서!A4</f>
        <v>금정리 344</v>
      </c>
      <c r="E2" s="577" t="str">
        <f>재료계산서!A11</f>
        <v>신흥리 817</v>
      </c>
      <c r="F2" s="577" t="str">
        <f>재료계산서!A17</f>
        <v>청소리 613</v>
      </c>
      <c r="G2" s="577" t="str">
        <f>재료계산서!A47</f>
        <v>왕진리 936-9</v>
      </c>
      <c r="H2" s="577" t="str">
        <f>재료계산서!A53</f>
        <v>사점리 167</v>
      </c>
      <c r="I2" s="577" t="str">
        <f>재료계산서!A59</f>
        <v>중산리 732-1</v>
      </c>
      <c r="J2" s="577" t="str">
        <f>재료계산서!A65</f>
        <v>화양리 1041-4</v>
      </c>
      <c r="K2" s="762" t="s">
        <v>58</v>
      </c>
      <c r="L2" s="762" t="s">
        <v>2110</v>
      </c>
    </row>
    <row r="3" spans="1:12" ht="15" customHeight="1">
      <c r="A3" s="1057" t="s">
        <v>2109</v>
      </c>
      <c r="B3" s="1057"/>
      <c r="C3" s="1057"/>
      <c r="D3" s="750" t="str">
        <f>재료계산서!D4</f>
        <v>○ 수로관 교체</v>
      </c>
      <c r="E3" s="750" t="str">
        <f>재료계산서!D11</f>
        <v>○ 송수관로 누출</v>
      </c>
      <c r="F3" s="750" t="str">
        <f>재료계산서!D17</f>
        <v>○ 유공관 보수</v>
      </c>
      <c r="G3" s="750" t="str">
        <f>재료계산서!D47</f>
        <v>○ 송수관로 누출</v>
      </c>
      <c r="H3" s="750" t="str">
        <f>재료계산서!D53</f>
        <v>○ 송수관로 누출</v>
      </c>
      <c r="I3" s="750" t="str">
        <f>재료계산서!D59</f>
        <v>○ 송수관로 누출</v>
      </c>
      <c r="J3" s="750" t="str">
        <f>재료계산서!D65</f>
        <v>○ 농로 파손</v>
      </c>
      <c r="K3" s="577"/>
      <c r="L3" s="762"/>
    </row>
    <row r="4" spans="1:12" ht="15" customHeight="1">
      <c r="A4" s="1057" t="s">
        <v>1880</v>
      </c>
      <c r="B4" s="1057"/>
      <c r="C4" s="1057"/>
      <c r="D4" s="577"/>
      <c r="E4" s="577"/>
      <c r="F4" s="577"/>
      <c r="G4" s="577"/>
      <c r="H4" s="577"/>
      <c r="I4" s="577"/>
      <c r="J4" s="577"/>
      <c r="K4" s="577"/>
      <c r="L4" s="762"/>
    </row>
    <row r="5" spans="1:12" ht="15" customHeight="1">
      <c r="A5" s="1057" t="s">
        <v>1881</v>
      </c>
      <c r="B5" s="1057" t="s">
        <v>1883</v>
      </c>
      <c r="C5" s="1057"/>
      <c r="D5" s="751">
        <f>재료계산서!B5</f>
        <v>10</v>
      </c>
      <c r="E5" s="751">
        <f>재료계산서!B12</f>
        <v>30</v>
      </c>
      <c r="F5" s="751">
        <f>재료계산서!B18</f>
        <v>20</v>
      </c>
      <c r="G5" s="751">
        <f>재료계산서!B48</f>
        <v>30</v>
      </c>
      <c r="H5" s="751">
        <f>재료계산서!B54</f>
        <v>30</v>
      </c>
      <c r="I5" s="751">
        <f>재료계산서!B60</f>
        <v>30</v>
      </c>
      <c r="J5" s="751">
        <f>재료계산서!B66</f>
        <v>5</v>
      </c>
      <c r="K5" s="750">
        <f>SUM(D5:J5)</f>
        <v>155</v>
      </c>
      <c r="L5" s="762"/>
    </row>
    <row r="6" spans="1:12" ht="15" customHeight="1">
      <c r="A6" s="1057"/>
      <c r="B6" s="1057" t="s">
        <v>1884</v>
      </c>
      <c r="C6" s="1057"/>
      <c r="D6" s="752"/>
      <c r="E6" s="752"/>
      <c r="F6" s="752"/>
      <c r="G6" s="752"/>
      <c r="H6" s="752"/>
      <c r="I6" s="752"/>
      <c r="J6" s="752"/>
      <c r="K6" s="577"/>
      <c r="L6" s="762"/>
    </row>
    <row r="7" spans="1:12" ht="15" customHeight="1">
      <c r="A7" s="1057"/>
      <c r="B7" s="1057" t="s">
        <v>1885</v>
      </c>
      <c r="C7" s="1057"/>
      <c r="D7" s="752"/>
      <c r="E7" s="752"/>
      <c r="F7" s="752"/>
      <c r="G7" s="752"/>
      <c r="H7" s="752"/>
      <c r="I7" s="752"/>
      <c r="J7" s="752"/>
      <c r="K7" s="577"/>
      <c r="L7" s="762"/>
    </row>
    <row r="8" spans="1:12" ht="15" customHeight="1">
      <c r="A8" s="762" t="s">
        <v>1886</v>
      </c>
      <c r="B8" s="762" t="s">
        <v>2211</v>
      </c>
      <c r="C8" s="570" t="s">
        <v>1887</v>
      </c>
      <c r="D8" s="753"/>
      <c r="E8" s="753"/>
      <c r="F8" s="753"/>
      <c r="G8" s="753"/>
      <c r="H8" s="753"/>
      <c r="I8" s="753"/>
      <c r="J8" s="753"/>
      <c r="K8" s="753"/>
      <c r="L8" s="570"/>
    </row>
    <row r="9" spans="1:12" ht="13.5" customHeight="1">
      <c r="A9" s="684" t="s">
        <v>2532</v>
      </c>
      <c r="B9" s="684" t="s">
        <v>2535</v>
      </c>
      <c r="C9" s="586" t="s">
        <v>1014</v>
      </c>
      <c r="D9" s="587">
        <f>재료계산서!P5</f>
        <v>10</v>
      </c>
      <c r="E9" s="587">
        <f>재료계산서!P12</f>
        <v>42.900000000000006</v>
      </c>
      <c r="F9" s="587">
        <f>재료계산서!P18</f>
        <v>300</v>
      </c>
      <c r="G9" s="587">
        <f>재료계산서!P48</f>
        <v>42.900000000000006</v>
      </c>
      <c r="H9" s="587">
        <f>재료계산서!P54</f>
        <v>42.900000000000006</v>
      </c>
      <c r="I9" s="587">
        <f>재료계산서!P60</f>
        <v>42.900000000000006</v>
      </c>
      <c r="J9" s="587">
        <f>재료계산서!P66</f>
        <v>7.15</v>
      </c>
      <c r="K9" s="587">
        <f t="shared" ref="K9:K28" si="0">SUM(D9:J9)</f>
        <v>488.74999999999989</v>
      </c>
      <c r="L9" s="682" t="s">
        <v>2339</v>
      </c>
    </row>
    <row r="10" spans="1:12" ht="13.5" customHeight="1">
      <c r="A10" s="591"/>
      <c r="B10" s="816"/>
      <c r="C10" s="589"/>
      <c r="D10" s="590">
        <f t="shared" ref="D10:J10" si="1">D9</f>
        <v>10</v>
      </c>
      <c r="E10" s="590">
        <f t="shared" si="1"/>
        <v>42.900000000000006</v>
      </c>
      <c r="F10" s="590">
        <f t="shared" si="1"/>
        <v>300</v>
      </c>
      <c r="G10" s="590">
        <f t="shared" si="1"/>
        <v>42.900000000000006</v>
      </c>
      <c r="H10" s="590">
        <f t="shared" si="1"/>
        <v>42.900000000000006</v>
      </c>
      <c r="I10" s="590">
        <f t="shared" si="1"/>
        <v>42.900000000000006</v>
      </c>
      <c r="J10" s="590">
        <f t="shared" si="1"/>
        <v>7.15</v>
      </c>
      <c r="K10" s="590">
        <f t="shared" si="0"/>
        <v>488.74999999999989</v>
      </c>
      <c r="L10" s="683" t="s">
        <v>2340</v>
      </c>
    </row>
    <row r="11" spans="1:12" ht="13.5" customHeight="1">
      <c r="A11" s="684" t="s">
        <v>2533</v>
      </c>
      <c r="B11" s="684" t="s">
        <v>2535</v>
      </c>
      <c r="C11" s="586" t="s">
        <v>1014</v>
      </c>
      <c r="D11" s="587">
        <f>재료계산서!P6</f>
        <v>6</v>
      </c>
      <c r="E11" s="587">
        <f>재료계산서!P13</f>
        <v>32.4</v>
      </c>
      <c r="F11" s="587">
        <f>재료계산서!P19</f>
        <v>180</v>
      </c>
      <c r="G11" s="587">
        <f>재료계산서!P49</f>
        <v>32.4</v>
      </c>
      <c r="H11" s="587">
        <f>재료계산서!P55</f>
        <v>32.4</v>
      </c>
      <c r="I11" s="587">
        <f>재료계산서!P61</f>
        <v>32.4</v>
      </c>
      <c r="J11" s="587">
        <f>재료계산서!P67</f>
        <v>2.15</v>
      </c>
      <c r="K11" s="587">
        <f t="shared" si="0"/>
        <v>317.74999999999994</v>
      </c>
      <c r="L11" s="585"/>
    </row>
    <row r="12" spans="1:12" ht="13.5" customHeight="1">
      <c r="A12" s="591"/>
      <c r="B12" s="816"/>
      <c r="C12" s="589"/>
      <c r="D12" s="590">
        <f t="shared" ref="D12:J12" si="2">D11</f>
        <v>6</v>
      </c>
      <c r="E12" s="590">
        <f t="shared" si="2"/>
        <v>32.4</v>
      </c>
      <c r="F12" s="590">
        <f t="shared" si="2"/>
        <v>180</v>
      </c>
      <c r="G12" s="590">
        <f t="shared" si="2"/>
        <v>32.4</v>
      </c>
      <c r="H12" s="590">
        <f t="shared" si="2"/>
        <v>32.4</v>
      </c>
      <c r="I12" s="590">
        <f t="shared" si="2"/>
        <v>32.4</v>
      </c>
      <c r="J12" s="590">
        <f t="shared" si="2"/>
        <v>2.15</v>
      </c>
      <c r="K12" s="590">
        <f t="shared" si="0"/>
        <v>317.74999999999994</v>
      </c>
      <c r="L12" s="588"/>
    </row>
    <row r="13" spans="1:12" ht="13.5" customHeight="1">
      <c r="A13" s="684" t="s">
        <v>2534</v>
      </c>
      <c r="B13" s="877" t="s">
        <v>2536</v>
      </c>
      <c r="C13" s="586" t="s">
        <v>1014</v>
      </c>
      <c r="D13" s="587">
        <f>재료계산서!P7</f>
        <v>4</v>
      </c>
      <c r="E13" s="587">
        <f>재료계산서!P14</f>
        <v>10.500000000000007</v>
      </c>
      <c r="F13" s="587">
        <f>재료계산서!P20</f>
        <v>120</v>
      </c>
      <c r="G13" s="587">
        <f>재료계산서!P50</f>
        <v>10.500000000000007</v>
      </c>
      <c r="H13" s="587">
        <f>재료계산서!P56</f>
        <v>10.500000000000007</v>
      </c>
      <c r="I13" s="587">
        <f>재료계산서!P62</f>
        <v>10.500000000000007</v>
      </c>
      <c r="J13" s="587">
        <f>재료계산서!P68</f>
        <v>5</v>
      </c>
      <c r="K13" s="587">
        <f t="shared" si="0"/>
        <v>171</v>
      </c>
      <c r="L13" s="585"/>
    </row>
    <row r="14" spans="1:12" ht="13.5" customHeight="1">
      <c r="A14" s="588"/>
      <c r="B14" s="588"/>
      <c r="C14" s="589"/>
      <c r="D14" s="590">
        <f t="shared" ref="D14:J14" si="3">D13</f>
        <v>4</v>
      </c>
      <c r="E14" s="590">
        <f t="shared" si="3"/>
        <v>10.500000000000007</v>
      </c>
      <c r="F14" s="590">
        <f t="shared" si="3"/>
        <v>120</v>
      </c>
      <c r="G14" s="590">
        <f t="shared" si="3"/>
        <v>10.500000000000007</v>
      </c>
      <c r="H14" s="590">
        <f t="shared" si="3"/>
        <v>10.500000000000007</v>
      </c>
      <c r="I14" s="590">
        <f t="shared" si="3"/>
        <v>10.500000000000007</v>
      </c>
      <c r="J14" s="590">
        <f t="shared" si="3"/>
        <v>5</v>
      </c>
      <c r="K14" s="590">
        <f t="shared" si="0"/>
        <v>171</v>
      </c>
      <c r="L14" s="588"/>
    </row>
    <row r="15" spans="1:12" ht="13.5" customHeight="1">
      <c r="A15" s="940" t="str">
        <f>재료계산서!D8</f>
        <v>수로관 설치 및 해체</v>
      </c>
      <c r="B15" s="940" t="str">
        <f>재료계산서!E8</f>
        <v>800C</v>
      </c>
      <c r="C15" s="586" t="s">
        <v>640</v>
      </c>
      <c r="D15" s="587">
        <f>재료계산서!P8</f>
        <v>10</v>
      </c>
      <c r="E15" s="587">
        <v>0</v>
      </c>
      <c r="F15" s="587">
        <v>0</v>
      </c>
      <c r="G15" s="587">
        <v>0</v>
      </c>
      <c r="H15" s="587">
        <f>재료계산서!V8</f>
        <v>0</v>
      </c>
      <c r="I15" s="587">
        <v>0</v>
      </c>
      <c r="J15" s="587">
        <v>0</v>
      </c>
      <c r="K15" s="587">
        <f t="shared" si="0"/>
        <v>10</v>
      </c>
      <c r="L15" s="585"/>
    </row>
    <row r="16" spans="1:12" ht="13.5" customHeight="1">
      <c r="A16" s="591"/>
      <c r="B16" s="591"/>
      <c r="C16" s="589"/>
      <c r="D16" s="590">
        <f>D15</f>
        <v>10</v>
      </c>
      <c r="E16" s="590">
        <f>E15</f>
        <v>0</v>
      </c>
      <c r="F16" s="590">
        <f>F15</f>
        <v>0</v>
      </c>
      <c r="G16" s="590">
        <v>0</v>
      </c>
      <c r="H16" s="590">
        <f>H15</f>
        <v>0</v>
      </c>
      <c r="I16" s="590">
        <f>I15</f>
        <v>0</v>
      </c>
      <c r="J16" s="590">
        <v>0</v>
      </c>
      <c r="K16" s="590">
        <f t="shared" si="0"/>
        <v>10</v>
      </c>
      <c r="L16" s="588"/>
    </row>
    <row r="17" spans="1:12" ht="13.5" customHeight="1">
      <c r="A17" s="940" t="str">
        <f>재료계산서!D15</f>
        <v>PE관 부설접합(버트융착식)</v>
      </c>
      <c r="B17" s="940" t="str">
        <f>재료계산서!E15</f>
        <v>D=100</v>
      </c>
      <c r="C17" s="986" t="s">
        <v>640</v>
      </c>
      <c r="D17" s="949">
        <v>0</v>
      </c>
      <c r="E17" s="949">
        <f>재료계산서!P15</f>
        <v>36</v>
      </c>
      <c r="F17" s="949">
        <v>0</v>
      </c>
      <c r="G17" s="949">
        <f>재료계산서!P47</f>
        <v>0</v>
      </c>
      <c r="H17" s="949">
        <v>0</v>
      </c>
      <c r="I17" s="949">
        <v>0</v>
      </c>
      <c r="J17" s="949">
        <f>재료계산서!V47</f>
        <v>0</v>
      </c>
      <c r="K17" s="587">
        <f t="shared" si="0"/>
        <v>36</v>
      </c>
      <c r="L17" s="950"/>
    </row>
    <row r="18" spans="1:12" ht="13.5" customHeight="1">
      <c r="A18" s="591"/>
      <c r="B18" s="591"/>
      <c r="C18" s="589"/>
      <c r="D18" s="949">
        <v>0</v>
      </c>
      <c r="E18" s="949">
        <f>E17</f>
        <v>36</v>
      </c>
      <c r="F18" s="949">
        <v>0</v>
      </c>
      <c r="G18" s="949">
        <f>G17</f>
        <v>0</v>
      </c>
      <c r="H18" s="949">
        <v>0</v>
      </c>
      <c r="I18" s="949">
        <f>I17</f>
        <v>0</v>
      </c>
      <c r="J18" s="949">
        <f>J17</f>
        <v>0</v>
      </c>
      <c r="K18" s="590">
        <f t="shared" si="0"/>
        <v>36</v>
      </c>
      <c r="L18" s="950"/>
    </row>
    <row r="19" spans="1:12" ht="13.5" customHeight="1">
      <c r="A19" s="940" t="str">
        <f>재료계산서!D21</f>
        <v>유공관</v>
      </c>
      <c r="B19" s="940" t="str">
        <f>재료계산서!E21</f>
        <v>D=150</v>
      </c>
      <c r="C19" s="986" t="s">
        <v>640</v>
      </c>
      <c r="D19" s="587">
        <v>0</v>
      </c>
      <c r="E19" s="587">
        <v>0</v>
      </c>
      <c r="F19" s="587">
        <f>재료계산서!P21</f>
        <v>24</v>
      </c>
      <c r="G19" s="587">
        <v>0</v>
      </c>
      <c r="H19" s="587">
        <v>0</v>
      </c>
      <c r="I19" s="587">
        <v>0</v>
      </c>
      <c r="J19" s="587">
        <v>0</v>
      </c>
      <c r="K19" s="587">
        <f t="shared" si="0"/>
        <v>24</v>
      </c>
      <c r="L19" s="585"/>
    </row>
    <row r="20" spans="1:12" ht="13.5" customHeight="1">
      <c r="A20" s="591"/>
      <c r="B20" s="591"/>
      <c r="C20" s="589"/>
      <c r="D20" s="590">
        <f>D19</f>
        <v>0</v>
      </c>
      <c r="E20" s="590">
        <f>E19</f>
        <v>0</v>
      </c>
      <c r="F20" s="590">
        <f>F19</f>
        <v>24</v>
      </c>
      <c r="G20" s="590">
        <v>0</v>
      </c>
      <c r="H20" s="590">
        <f>H19</f>
        <v>0</v>
      </c>
      <c r="I20" s="590">
        <f>I19</f>
        <v>0</v>
      </c>
      <c r="J20" s="590">
        <v>0</v>
      </c>
      <c r="K20" s="590">
        <f t="shared" si="0"/>
        <v>24</v>
      </c>
      <c r="L20" s="588"/>
    </row>
    <row r="21" spans="1:12" ht="13.5" customHeight="1">
      <c r="A21" s="940" t="str">
        <f>재료계산서!D51</f>
        <v>PE관 부설접합(버트융착식)</v>
      </c>
      <c r="B21" s="940" t="str">
        <f>재료계산서!E51</f>
        <v>D=50</v>
      </c>
      <c r="C21" s="586" t="s">
        <v>640</v>
      </c>
      <c r="D21" s="949">
        <v>0</v>
      </c>
      <c r="E21" s="949">
        <v>0</v>
      </c>
      <c r="F21" s="949">
        <v>0</v>
      </c>
      <c r="G21" s="949">
        <f>재료계산서!P51</f>
        <v>36</v>
      </c>
      <c r="H21" s="949">
        <v>0</v>
      </c>
      <c r="I21" s="949">
        <v>0</v>
      </c>
      <c r="J21" s="949">
        <f>재료계산서!V51</f>
        <v>0</v>
      </c>
      <c r="K21" s="587">
        <f t="shared" si="0"/>
        <v>36</v>
      </c>
      <c r="L21" s="950"/>
    </row>
    <row r="22" spans="1:12" ht="13.5" customHeight="1">
      <c r="A22" s="591"/>
      <c r="B22" s="591"/>
      <c r="C22" s="589"/>
      <c r="D22" s="949">
        <v>0</v>
      </c>
      <c r="E22" s="949">
        <f>E21</f>
        <v>0</v>
      </c>
      <c r="F22" s="949">
        <v>0</v>
      </c>
      <c r="G22" s="949">
        <f>G21</f>
        <v>36</v>
      </c>
      <c r="H22" s="949">
        <v>0</v>
      </c>
      <c r="I22" s="949">
        <f>I21</f>
        <v>0</v>
      </c>
      <c r="J22" s="949">
        <f>J21</f>
        <v>0</v>
      </c>
      <c r="K22" s="590">
        <f t="shared" si="0"/>
        <v>36</v>
      </c>
      <c r="L22" s="950"/>
    </row>
    <row r="23" spans="1:12" ht="13.5" customHeight="1">
      <c r="A23" s="940" t="str">
        <f>재료계산서!D57</f>
        <v>PE관 부설접합(버트융착식)</v>
      </c>
      <c r="B23" s="940" t="str">
        <f>재료계산서!E63</f>
        <v>D=150</v>
      </c>
      <c r="C23" s="986" t="s">
        <v>640</v>
      </c>
      <c r="D23" s="949">
        <v>0</v>
      </c>
      <c r="E23" s="949">
        <v>0</v>
      </c>
      <c r="F23" s="949">
        <v>0</v>
      </c>
      <c r="G23" s="949">
        <v>0</v>
      </c>
      <c r="H23" s="949">
        <f>재료계산서!P57</f>
        <v>36</v>
      </c>
      <c r="I23" s="949">
        <f>재료계산서!P63</f>
        <v>36</v>
      </c>
      <c r="J23" s="949">
        <v>0</v>
      </c>
      <c r="K23" s="587">
        <f t="shared" si="0"/>
        <v>72</v>
      </c>
      <c r="L23" s="950"/>
    </row>
    <row r="24" spans="1:12" ht="13.5" customHeight="1">
      <c r="A24" s="591"/>
      <c r="B24" s="591"/>
      <c r="C24" s="589"/>
      <c r="D24" s="949">
        <v>0</v>
      </c>
      <c r="E24" s="949">
        <f>E23</f>
        <v>0</v>
      </c>
      <c r="F24" s="949">
        <v>0</v>
      </c>
      <c r="G24" s="949">
        <f>G23</f>
        <v>0</v>
      </c>
      <c r="H24" s="949">
        <f>H23</f>
        <v>36</v>
      </c>
      <c r="I24" s="949">
        <f>I23</f>
        <v>36</v>
      </c>
      <c r="J24" s="949">
        <f>J23</f>
        <v>0</v>
      </c>
      <c r="K24" s="590">
        <f t="shared" si="0"/>
        <v>72</v>
      </c>
      <c r="L24" s="950"/>
    </row>
    <row r="25" spans="1:12" ht="13.5" customHeight="1">
      <c r="A25" s="928" t="s">
        <v>2569</v>
      </c>
      <c r="B25" s="943" t="s">
        <v>2577</v>
      </c>
      <c r="C25" s="586" t="s">
        <v>31</v>
      </c>
      <c r="D25" s="587">
        <v>0</v>
      </c>
      <c r="E25" s="587">
        <v>0</v>
      </c>
      <c r="F25" s="587">
        <f>재료계산서!P22</f>
        <v>4.8000000000000007</v>
      </c>
      <c r="G25" s="587">
        <v>0</v>
      </c>
      <c r="H25" s="587">
        <f>재료계산서!V9</f>
        <v>0</v>
      </c>
      <c r="I25" s="587">
        <v>0</v>
      </c>
      <c r="J25" s="587">
        <f>재료계산서!P69</f>
        <v>2</v>
      </c>
      <c r="K25" s="587">
        <f t="shared" si="0"/>
        <v>6.8000000000000007</v>
      </c>
      <c r="L25" s="585"/>
    </row>
    <row r="26" spans="1:12" ht="13.5" customHeight="1">
      <c r="A26" s="588"/>
      <c r="B26" s="588"/>
      <c r="C26" s="589"/>
      <c r="D26" s="590">
        <f t="shared" ref="D26:G26" si="4">D25</f>
        <v>0</v>
      </c>
      <c r="E26" s="590">
        <f t="shared" si="4"/>
        <v>0</v>
      </c>
      <c r="F26" s="590">
        <f t="shared" si="4"/>
        <v>4.8000000000000007</v>
      </c>
      <c r="G26" s="590">
        <f t="shared" si="4"/>
        <v>0</v>
      </c>
      <c r="H26" s="590">
        <f>H25</f>
        <v>0</v>
      </c>
      <c r="I26" s="590">
        <f>I25</f>
        <v>0</v>
      </c>
      <c r="J26" s="590">
        <f>J25</f>
        <v>2</v>
      </c>
      <c r="K26" s="590">
        <f t="shared" si="0"/>
        <v>6.8000000000000007</v>
      </c>
      <c r="L26" s="588"/>
    </row>
    <row r="27" spans="1:12" ht="13.5" customHeight="1">
      <c r="A27" s="928" t="s">
        <v>2562</v>
      </c>
      <c r="B27" s="585" t="s">
        <v>2563</v>
      </c>
      <c r="C27" s="664" t="s">
        <v>2564</v>
      </c>
      <c r="D27" s="587">
        <f>재료계산서!P9</f>
        <v>2.4</v>
      </c>
      <c r="E27" s="587">
        <v>0</v>
      </c>
      <c r="F27" s="587">
        <f>재료계산서!P23</f>
        <v>4.8000000000000007</v>
      </c>
      <c r="G27" s="587">
        <v>0</v>
      </c>
      <c r="H27" s="587">
        <f>재료계산서!V9</f>
        <v>0</v>
      </c>
      <c r="I27" s="587">
        <f>0</f>
        <v>0</v>
      </c>
      <c r="J27" s="587">
        <f>재료계산서!P70</f>
        <v>2</v>
      </c>
      <c r="K27" s="587">
        <f t="shared" si="0"/>
        <v>9.2000000000000011</v>
      </c>
      <c r="L27" s="585"/>
    </row>
    <row r="28" spans="1:12" ht="13.5" customHeight="1">
      <c r="A28" s="588"/>
      <c r="B28" s="588"/>
      <c r="C28" s="589"/>
      <c r="D28" s="590">
        <f t="shared" ref="D28:J28" si="5">D27</f>
        <v>2.4</v>
      </c>
      <c r="E28" s="590">
        <f t="shared" si="5"/>
        <v>0</v>
      </c>
      <c r="F28" s="590">
        <f t="shared" si="5"/>
        <v>4.8000000000000007</v>
      </c>
      <c r="G28" s="590">
        <f t="shared" si="5"/>
        <v>0</v>
      </c>
      <c r="H28" s="590">
        <f t="shared" si="5"/>
        <v>0</v>
      </c>
      <c r="I28" s="590">
        <f t="shared" si="5"/>
        <v>0</v>
      </c>
      <c r="J28" s="590">
        <f t="shared" si="5"/>
        <v>2</v>
      </c>
      <c r="K28" s="590">
        <f t="shared" si="0"/>
        <v>9.2000000000000011</v>
      </c>
      <c r="L28" s="588"/>
    </row>
    <row r="29" spans="1:12" ht="13.5" customHeight="1">
      <c r="A29" s="585"/>
      <c r="B29" s="585"/>
      <c r="C29" s="664"/>
      <c r="D29" s="587"/>
      <c r="E29" s="587"/>
      <c r="F29" s="587"/>
      <c r="G29" s="587"/>
      <c r="H29" s="587"/>
      <c r="I29" s="587"/>
      <c r="J29" s="587"/>
      <c r="K29" s="587">
        <f>SUM(D29:G29)</f>
        <v>0</v>
      </c>
      <c r="L29" s="585"/>
    </row>
    <row r="30" spans="1:12" ht="13.5" customHeight="1">
      <c r="A30" s="588"/>
      <c r="B30" s="588"/>
      <c r="C30" s="589"/>
      <c r="D30" s="590"/>
      <c r="E30" s="590"/>
      <c r="F30" s="590"/>
      <c r="G30" s="590"/>
      <c r="H30" s="590"/>
      <c r="I30" s="590"/>
      <c r="J30" s="590"/>
      <c r="K30" s="590">
        <f>SUM(D30:G30)</f>
        <v>0</v>
      </c>
      <c r="L30" s="588"/>
    </row>
    <row r="31" spans="1:12" ht="13.5" customHeight="1">
      <c r="A31" s="585"/>
      <c r="B31" s="585"/>
      <c r="C31" s="664"/>
      <c r="D31" s="587"/>
      <c r="E31" s="587"/>
      <c r="F31" s="587"/>
      <c r="G31" s="587"/>
      <c r="H31" s="587"/>
      <c r="I31" s="587"/>
      <c r="J31" s="587"/>
      <c r="K31" s="587"/>
      <c r="L31" s="585"/>
    </row>
    <row r="32" spans="1:12" ht="13.5" customHeight="1">
      <c r="A32" s="588"/>
      <c r="B32" s="588"/>
      <c r="C32" s="589"/>
      <c r="D32" s="590"/>
      <c r="E32" s="590"/>
      <c r="F32" s="590"/>
      <c r="G32" s="590"/>
      <c r="H32" s="590"/>
      <c r="I32" s="590"/>
      <c r="J32" s="590"/>
      <c r="K32" s="590"/>
      <c r="L32" s="588"/>
    </row>
    <row r="33" spans="1:12" ht="13.5" customHeight="1">
      <c r="A33" s="585"/>
      <c r="B33" s="585"/>
      <c r="C33" s="664"/>
      <c r="D33" s="587"/>
      <c r="E33" s="587"/>
      <c r="F33" s="587"/>
      <c r="G33" s="587"/>
      <c r="H33" s="587"/>
      <c r="I33" s="587"/>
      <c r="J33" s="587"/>
      <c r="K33" s="587">
        <f>SUM(D33:G33)</f>
        <v>0</v>
      </c>
      <c r="L33" s="585"/>
    </row>
    <row r="34" spans="1:12" ht="13.5" customHeight="1">
      <c r="A34" s="588"/>
      <c r="B34" s="588"/>
      <c r="C34" s="589"/>
      <c r="D34" s="590"/>
      <c r="E34" s="590"/>
      <c r="F34" s="590"/>
      <c r="G34" s="590"/>
      <c r="H34" s="590"/>
      <c r="I34" s="590"/>
      <c r="J34" s="590"/>
      <c r="K34" s="590">
        <f>SUM(D34:G34)</f>
        <v>0</v>
      </c>
      <c r="L34" s="588"/>
    </row>
    <row r="35" spans="1:12" ht="13.5" customHeight="1">
      <c r="A35" s="585"/>
      <c r="B35" s="585"/>
      <c r="C35" s="664"/>
      <c r="D35" s="587"/>
      <c r="E35" s="587"/>
      <c r="F35" s="587"/>
      <c r="G35" s="587"/>
      <c r="H35" s="587"/>
      <c r="I35" s="587"/>
      <c r="J35" s="587"/>
      <c r="K35" s="587">
        <f>SUM(D35:G35)</f>
        <v>0</v>
      </c>
      <c r="L35" s="585"/>
    </row>
    <row r="36" spans="1:12" ht="13.5" customHeight="1">
      <c r="A36" s="588"/>
      <c r="B36" s="588"/>
      <c r="C36" s="589"/>
      <c r="D36" s="590"/>
      <c r="E36" s="590"/>
      <c r="F36" s="590"/>
      <c r="G36" s="590"/>
      <c r="H36" s="590"/>
      <c r="I36" s="590"/>
      <c r="J36" s="590"/>
      <c r="K36" s="590">
        <f>SUM(D36:G36)</f>
        <v>0</v>
      </c>
      <c r="L36" s="588"/>
    </row>
  </sheetData>
  <mergeCells count="8">
    <mergeCell ref="A1:L1"/>
    <mergeCell ref="A3:C3"/>
    <mergeCell ref="A4:C4"/>
    <mergeCell ref="A5:A7"/>
    <mergeCell ref="B5:C5"/>
    <mergeCell ref="B6:C6"/>
    <mergeCell ref="B7:C7"/>
    <mergeCell ref="A2:C2"/>
  </mergeCells>
  <phoneticPr fontId="3" type="noConversion"/>
  <printOptions horizontalCentered="1"/>
  <pageMargins left="0.27559055118110237" right="0.31496062992125984" top="0.78740157480314965" bottom="0.43307086614173229" header="0.51181102362204722" footer="0.35433070866141736"/>
  <pageSetup paperSize="9" scale="69" orientation="landscape" r:id="rId1"/>
  <headerFooter alignWithMargins="0"/>
  <rowBreaks count="1" manualBreakCount="1">
    <brk id="36" max="9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U36"/>
  <sheetViews>
    <sheetView view="pageBreakPreview" zoomScaleNormal="100" zoomScaleSheetLayoutView="100" workbookViewId="0">
      <selection activeCell="K17" sqref="K17"/>
    </sheetView>
  </sheetViews>
  <sheetFormatPr defaultRowHeight="13.5"/>
  <cols>
    <col min="2" max="2" width="6.21875" customWidth="1"/>
    <col min="3" max="5" width="1.33203125" customWidth="1"/>
    <col min="6" max="6" width="5.44140625" customWidth="1"/>
    <col min="7" max="8" width="12" customWidth="1"/>
    <col min="9" max="9" width="5.88671875" customWidth="1"/>
    <col min="10" max="10" width="1.109375" customWidth="1"/>
    <col min="11" max="11" width="3.5546875" customWidth="1"/>
    <col min="12" max="13" width="1.44140625" customWidth="1"/>
    <col min="14" max="14" width="7.109375" customWidth="1"/>
    <col min="15" max="21" width="6.6640625" customWidth="1"/>
  </cols>
  <sheetData>
    <row r="1" spans="1:21" ht="26.25" customHeight="1">
      <c r="A1" s="1016" t="s">
        <v>2272</v>
      </c>
      <c r="B1" s="1016"/>
      <c r="C1" s="1016"/>
      <c r="D1" s="1016"/>
      <c r="E1" s="1016"/>
      <c r="F1" s="1016"/>
      <c r="G1" s="1016"/>
      <c r="H1" s="1016"/>
      <c r="I1" s="1016"/>
      <c r="J1" s="1016"/>
      <c r="K1" s="1016"/>
      <c r="L1" s="1016"/>
      <c r="M1" s="1016"/>
      <c r="N1" s="1016"/>
      <c r="O1" s="1016"/>
      <c r="P1" s="1016"/>
      <c r="Q1" s="1016"/>
      <c r="R1" s="1016"/>
      <c r="S1" s="1016"/>
      <c r="T1" s="1016"/>
      <c r="U1" s="1016"/>
    </row>
    <row r="2" spans="1:21" ht="18.75" customHeight="1"/>
    <row r="3" spans="1:21" ht="24.75" customHeight="1">
      <c r="A3" s="713"/>
      <c r="B3" s="713"/>
      <c r="C3" s="713"/>
      <c r="D3" s="713"/>
      <c r="E3" s="713"/>
      <c r="F3" s="713"/>
      <c r="G3" s="1088" t="s">
        <v>2284</v>
      </c>
      <c r="H3" s="1088"/>
      <c r="I3" s="713"/>
      <c r="J3" s="713"/>
      <c r="K3" s="713"/>
      <c r="L3" s="713"/>
      <c r="M3" s="713"/>
      <c r="N3" s="713"/>
      <c r="O3" s="713"/>
    </row>
    <row r="4" spans="1:21" ht="8.25" customHeight="1">
      <c r="A4" s="713"/>
      <c r="B4" s="713"/>
      <c r="C4" s="713"/>
      <c r="D4" s="713"/>
      <c r="E4" s="713"/>
      <c r="F4" s="713"/>
      <c r="G4" s="713"/>
      <c r="H4" s="713"/>
      <c r="I4" s="713"/>
      <c r="J4" s="713"/>
      <c r="K4" s="713"/>
      <c r="L4" s="713"/>
      <c r="M4" s="713"/>
      <c r="N4" s="713"/>
      <c r="O4" s="713"/>
    </row>
    <row r="5" spans="1:21" ht="8.25" customHeight="1">
      <c r="A5" s="713"/>
      <c r="B5" s="713"/>
      <c r="C5" s="713"/>
      <c r="D5" s="713"/>
      <c r="E5" s="713"/>
      <c r="F5" s="713"/>
      <c r="G5" s="713"/>
      <c r="H5" s="713"/>
      <c r="I5" s="713"/>
      <c r="J5" s="713"/>
      <c r="K5" s="713"/>
      <c r="L5" s="713"/>
      <c r="M5" s="713"/>
      <c r="N5" s="713"/>
      <c r="O5" s="713"/>
    </row>
    <row r="6" spans="1:21" ht="18.75" customHeight="1">
      <c r="A6" s="713"/>
      <c r="B6" s="713"/>
      <c r="C6" s="713"/>
      <c r="D6" s="713"/>
      <c r="E6" s="1089">
        <v>0.2</v>
      </c>
      <c r="F6" s="1089"/>
      <c r="G6" s="1089">
        <v>1.5</v>
      </c>
      <c r="H6" s="1089"/>
      <c r="I6" s="1089">
        <v>0.2</v>
      </c>
      <c r="J6" s="1089"/>
      <c r="K6" s="713"/>
      <c r="L6" s="713"/>
      <c r="M6" s="713"/>
      <c r="N6" s="713"/>
      <c r="O6" s="713"/>
    </row>
    <row r="7" spans="1:21" ht="6.75" customHeight="1">
      <c r="A7" s="713"/>
      <c r="B7" s="713"/>
      <c r="C7" s="713"/>
      <c r="D7" s="713"/>
      <c r="E7" s="713"/>
      <c r="F7" s="713"/>
      <c r="G7" s="713"/>
      <c r="H7" s="713"/>
      <c r="I7" s="713"/>
      <c r="J7" s="713"/>
      <c r="K7" s="713"/>
      <c r="L7" s="713"/>
      <c r="M7" s="713"/>
      <c r="N7" s="713"/>
      <c r="O7" s="713"/>
    </row>
    <row r="8" spans="1:21" ht="8.25" customHeight="1">
      <c r="A8" s="713"/>
      <c r="B8" s="713"/>
      <c r="C8" s="713"/>
      <c r="D8" s="713"/>
      <c r="E8" s="714"/>
      <c r="F8" s="715"/>
      <c r="G8" s="714"/>
      <c r="H8" s="716"/>
      <c r="I8" s="715"/>
      <c r="J8" s="716"/>
      <c r="K8" s="713"/>
      <c r="L8" s="713"/>
      <c r="M8" s="713"/>
      <c r="N8" s="713"/>
      <c r="O8" s="713"/>
    </row>
    <row r="9" spans="1:21" ht="8.25" customHeight="1">
      <c r="A9" s="713"/>
      <c r="B9" s="713"/>
      <c r="C9" s="713"/>
      <c r="D9" s="713"/>
      <c r="E9" s="717"/>
      <c r="F9" s="718"/>
      <c r="G9" s="717"/>
      <c r="H9" s="719"/>
      <c r="I9" s="718"/>
      <c r="J9" s="719"/>
      <c r="K9" s="713"/>
      <c r="L9" s="713"/>
      <c r="M9" s="713"/>
      <c r="N9" s="713"/>
      <c r="O9" s="713"/>
    </row>
    <row r="10" spans="1:21" ht="14.25">
      <c r="A10" s="713"/>
      <c r="B10" s="713"/>
      <c r="C10" s="713"/>
      <c r="D10" s="713"/>
      <c r="E10" s="713"/>
      <c r="F10" s="713"/>
      <c r="G10" s="713"/>
      <c r="H10" s="713"/>
      <c r="I10" s="713"/>
      <c r="J10" s="713"/>
      <c r="K10" s="713"/>
      <c r="L10" s="713"/>
      <c r="M10" s="713"/>
      <c r="N10" s="713"/>
      <c r="O10" s="713"/>
    </row>
    <row r="11" spans="1:21" ht="6.75" customHeight="1" thickBot="1">
      <c r="A11" s="713"/>
      <c r="B11" s="713"/>
      <c r="C11" s="713"/>
      <c r="D11" s="713"/>
      <c r="E11" s="717"/>
      <c r="F11" s="718"/>
      <c r="G11" s="718"/>
      <c r="H11" s="718"/>
      <c r="I11" s="718"/>
      <c r="J11" s="719"/>
      <c r="K11" s="713"/>
      <c r="L11" s="719"/>
      <c r="M11" s="717"/>
      <c r="N11" s="1095">
        <v>0.15</v>
      </c>
      <c r="O11" s="713"/>
    </row>
    <row r="12" spans="1:21" ht="20.25" customHeight="1" thickTop="1">
      <c r="A12" s="713"/>
      <c r="B12" s="713"/>
      <c r="C12" s="713"/>
      <c r="D12" s="713"/>
      <c r="E12" s="714"/>
      <c r="F12" s="720"/>
      <c r="G12" s="721"/>
      <c r="H12" s="721"/>
      <c r="I12" s="720"/>
      <c r="J12" s="716"/>
      <c r="K12" s="713"/>
      <c r="L12" s="722"/>
      <c r="M12" s="723"/>
      <c r="N12" s="1095"/>
      <c r="O12" s="713"/>
    </row>
    <row r="13" spans="1:21" ht="7.5" customHeight="1">
      <c r="A13" s="713"/>
      <c r="B13" s="713"/>
      <c r="C13" s="713"/>
      <c r="D13" s="713"/>
      <c r="E13" s="713"/>
      <c r="F13" s="713"/>
      <c r="G13" s="723"/>
      <c r="H13" s="722"/>
      <c r="I13" s="713"/>
      <c r="J13" s="713"/>
      <c r="K13" s="713"/>
      <c r="L13" s="719"/>
      <c r="M13" s="717"/>
      <c r="N13" s="1095">
        <v>0.05</v>
      </c>
      <c r="O13" s="713"/>
    </row>
    <row r="14" spans="1:21" ht="7.5" customHeight="1">
      <c r="A14" s="713"/>
      <c r="B14" s="713"/>
      <c r="C14" s="713"/>
      <c r="D14" s="713"/>
      <c r="E14" s="713"/>
      <c r="F14" s="713"/>
      <c r="G14" s="714"/>
      <c r="H14" s="716"/>
      <c r="I14" s="713"/>
      <c r="J14" s="713"/>
      <c r="K14" s="713"/>
      <c r="L14" s="716"/>
      <c r="M14" s="714"/>
      <c r="N14" s="1095"/>
      <c r="O14" s="713"/>
    </row>
    <row r="15" spans="1:21" ht="14.25">
      <c r="A15" s="713"/>
      <c r="B15" s="713"/>
      <c r="C15" s="713"/>
      <c r="D15" s="713"/>
      <c r="E15" s="713"/>
      <c r="F15" s="713"/>
      <c r="G15" s="713"/>
      <c r="H15" s="713"/>
      <c r="I15" s="713"/>
      <c r="J15" s="713"/>
      <c r="K15" s="713"/>
      <c r="L15" s="713"/>
      <c r="M15" s="713"/>
      <c r="N15" s="713"/>
      <c r="O15" s="713"/>
    </row>
    <row r="16" spans="1:21" ht="15" customHeight="1">
      <c r="A16" s="713"/>
      <c r="B16" s="713" t="s">
        <v>2270</v>
      </c>
      <c r="C16" s="713"/>
      <c r="D16" s="713"/>
      <c r="E16" s="713"/>
      <c r="F16" s="713"/>
      <c r="G16" s="713"/>
      <c r="H16" s="713"/>
      <c r="I16" s="713"/>
      <c r="J16" s="713"/>
      <c r="K16" s="713"/>
      <c r="L16" s="713"/>
      <c r="M16" s="713"/>
      <c r="N16" s="713"/>
      <c r="O16" s="713"/>
    </row>
    <row r="17" spans="1:21" ht="15" customHeight="1">
      <c r="A17" s="713"/>
      <c r="B17" s="713"/>
      <c r="C17" s="713"/>
      <c r="D17" s="713"/>
      <c r="E17" s="713"/>
      <c r="F17" s="713"/>
      <c r="G17" s="713"/>
      <c r="H17" s="713"/>
      <c r="I17" s="713"/>
      <c r="J17" s="713"/>
      <c r="K17" s="713" t="s">
        <v>2271</v>
      </c>
      <c r="L17" s="713"/>
      <c r="M17" s="713"/>
      <c r="N17" s="713"/>
      <c r="O17" s="713"/>
    </row>
    <row r="18" spans="1:21" ht="19.5" customHeight="1">
      <c r="A18" s="713"/>
      <c r="B18" s="713"/>
      <c r="C18" s="713"/>
      <c r="D18" s="713"/>
      <c r="E18" s="713"/>
      <c r="F18" s="713"/>
      <c r="G18" s="1088" t="s">
        <v>2285</v>
      </c>
      <c r="H18" s="1088"/>
      <c r="I18" s="713"/>
      <c r="J18" s="713"/>
      <c r="K18" s="713"/>
      <c r="L18" s="713"/>
      <c r="M18" s="713"/>
      <c r="N18" s="713"/>
      <c r="O18" s="713"/>
    </row>
    <row r="19" spans="1:21" ht="3.75" customHeight="1">
      <c r="A19" s="713"/>
      <c r="B19" s="713"/>
      <c r="C19" s="713"/>
      <c r="D19" s="713"/>
      <c r="E19" s="713"/>
      <c r="F19" s="713"/>
      <c r="G19" s="713"/>
      <c r="H19" s="713"/>
      <c r="I19" s="713"/>
      <c r="J19" s="713"/>
      <c r="K19" s="713"/>
      <c r="L19" s="713"/>
      <c r="M19" s="713"/>
      <c r="N19" s="713"/>
      <c r="O19" s="713"/>
    </row>
    <row r="20" spans="1:21" ht="18.75" customHeight="1">
      <c r="A20" s="713"/>
      <c r="B20" s="713"/>
      <c r="C20" s="713"/>
      <c r="D20" s="713"/>
      <c r="E20" s="1089">
        <v>0.2</v>
      </c>
      <c r="F20" s="1089"/>
      <c r="G20" s="1089">
        <v>1.5</v>
      </c>
      <c r="H20" s="1089"/>
      <c r="I20" s="1089">
        <v>0.2</v>
      </c>
      <c r="J20" s="1089"/>
      <c r="K20" s="713"/>
      <c r="L20" s="713"/>
      <c r="M20" s="713"/>
      <c r="N20" s="713"/>
      <c r="O20" s="713"/>
      <c r="Q20" s="1091" t="s">
        <v>2282</v>
      </c>
      <c r="R20" s="1091"/>
      <c r="S20" s="1091"/>
    </row>
    <row r="21" spans="1:21" ht="6.75" customHeight="1">
      <c r="A21" s="713"/>
      <c r="B21" s="713"/>
      <c r="C21" s="713"/>
      <c r="D21" s="713"/>
      <c r="E21" s="714"/>
      <c r="F21" s="715"/>
      <c r="G21" s="715"/>
      <c r="H21" s="715"/>
      <c r="I21" s="715"/>
      <c r="J21" s="716"/>
      <c r="K21" s="713"/>
      <c r="L21" s="713"/>
      <c r="M21" s="713"/>
      <c r="N21" s="713"/>
      <c r="O21" s="713"/>
      <c r="Q21" s="1091"/>
      <c r="R21" s="1091"/>
      <c r="S21" s="1091"/>
    </row>
    <row r="22" spans="1:21" ht="6.75" customHeight="1">
      <c r="A22" s="713"/>
      <c r="B22" s="713"/>
      <c r="C22" s="713"/>
      <c r="D22" s="713"/>
      <c r="E22" s="717"/>
      <c r="F22" s="718"/>
      <c r="G22" s="718"/>
      <c r="H22" s="718"/>
      <c r="I22" s="718"/>
      <c r="J22" s="719"/>
      <c r="K22" s="713"/>
      <c r="L22" s="713"/>
      <c r="M22" s="713"/>
      <c r="N22" s="713"/>
      <c r="O22" s="713"/>
    </row>
    <row r="23" spans="1:21" ht="14.25">
      <c r="A23" s="713"/>
      <c r="B23" s="713"/>
      <c r="C23" s="713"/>
      <c r="D23" s="713"/>
      <c r="E23" s="713"/>
      <c r="F23" s="713"/>
      <c r="G23" s="713"/>
      <c r="H23" s="713"/>
      <c r="I23" s="713"/>
      <c r="J23" s="713"/>
      <c r="K23" s="713"/>
      <c r="L23" s="713"/>
      <c r="M23" s="713"/>
      <c r="N23" s="713"/>
      <c r="O23" s="713"/>
      <c r="T23" s="1084" t="s">
        <v>2258</v>
      </c>
      <c r="U23" s="1084"/>
    </row>
    <row r="24" spans="1:21" ht="8.25" customHeight="1" thickBot="1">
      <c r="A24" s="713"/>
      <c r="B24" s="713"/>
      <c r="C24" s="713"/>
      <c r="D24" s="713"/>
      <c r="E24" s="717"/>
      <c r="F24" s="718"/>
      <c r="G24" s="724"/>
      <c r="H24" s="725"/>
      <c r="I24" s="718"/>
      <c r="J24" s="719"/>
      <c r="K24" s="713"/>
      <c r="L24" s="719"/>
      <c r="M24" s="717"/>
      <c r="N24" s="713"/>
      <c r="O24" s="713"/>
      <c r="T24" s="1085"/>
      <c r="U24" s="1085"/>
    </row>
    <row r="25" spans="1:21" ht="30.75" customHeight="1" thickTop="1" thickBot="1">
      <c r="A25" s="713"/>
      <c r="B25" s="713"/>
      <c r="C25" s="713"/>
      <c r="D25" s="713"/>
      <c r="E25" s="723"/>
      <c r="F25" s="728"/>
      <c r="G25" s="728"/>
      <c r="H25" s="728"/>
      <c r="I25" s="728"/>
      <c r="J25" s="722"/>
      <c r="K25" s="713"/>
      <c r="L25" s="722"/>
      <c r="M25" s="723"/>
      <c r="N25" s="713"/>
      <c r="O25" s="737" t="s">
        <v>2273</v>
      </c>
      <c r="P25" s="738" t="s">
        <v>1637</v>
      </c>
      <c r="Q25" s="738" t="s">
        <v>2274</v>
      </c>
      <c r="R25" s="737" t="s">
        <v>2275</v>
      </c>
      <c r="S25" s="737" t="s">
        <v>2276</v>
      </c>
      <c r="T25" s="737" t="s">
        <v>2277</v>
      </c>
      <c r="U25" s="737" t="s">
        <v>1676</v>
      </c>
    </row>
    <row r="26" spans="1:21" ht="30.75" customHeight="1" thickTop="1" thickBot="1">
      <c r="A26" s="713"/>
      <c r="B26" s="713"/>
      <c r="C26" s="713"/>
      <c r="D26" s="713"/>
      <c r="E26" s="723"/>
      <c r="F26" s="728"/>
      <c r="G26" s="728"/>
      <c r="H26" s="728"/>
      <c r="I26" s="728"/>
      <c r="J26" s="722"/>
      <c r="K26" s="713"/>
      <c r="L26" s="722"/>
      <c r="M26" s="723"/>
      <c r="N26" s="713"/>
      <c r="O26" s="730" t="s">
        <v>2278</v>
      </c>
      <c r="P26" s="731" t="s">
        <v>2280</v>
      </c>
      <c r="Q26" s="731">
        <v>0.2</v>
      </c>
      <c r="R26" s="740">
        <v>1</v>
      </c>
      <c r="S26" s="740">
        <v>8.6999999999999993</v>
      </c>
      <c r="T26" s="740">
        <v>8.6999999999999993</v>
      </c>
      <c r="U26" s="731"/>
    </row>
    <row r="27" spans="1:21" ht="30.75" customHeight="1" thickTop="1" thickBot="1">
      <c r="A27" s="713"/>
      <c r="B27" s="729" t="s">
        <v>2270</v>
      </c>
      <c r="C27" s="713"/>
      <c r="D27" s="713"/>
      <c r="E27" s="723"/>
      <c r="F27" s="728"/>
      <c r="G27" s="728"/>
      <c r="H27" s="728"/>
      <c r="I27" s="728"/>
      <c r="J27" s="722"/>
      <c r="K27" s="713"/>
      <c r="L27" s="722"/>
      <c r="M27" s="723"/>
      <c r="N27" s="1090">
        <v>1</v>
      </c>
      <c r="O27" s="730" t="s">
        <v>2279</v>
      </c>
      <c r="P27" s="731" t="s">
        <v>2280</v>
      </c>
      <c r="Q27" s="731">
        <v>0.2</v>
      </c>
      <c r="R27" s="731">
        <v>1.74</v>
      </c>
      <c r="S27" s="740">
        <v>5</v>
      </c>
      <c r="T27" s="740">
        <v>8.6999999999999993</v>
      </c>
      <c r="U27" s="731"/>
    </row>
    <row r="28" spans="1:21" ht="30.75" customHeight="1" thickTop="1" thickBot="1">
      <c r="A28" s="713"/>
      <c r="B28" s="713"/>
      <c r="C28" s="713"/>
      <c r="D28" s="713"/>
      <c r="E28" s="723"/>
      <c r="F28" s="728"/>
      <c r="G28" s="728"/>
      <c r="H28" s="728"/>
      <c r="I28" s="728"/>
      <c r="J28" s="722"/>
      <c r="K28" s="713"/>
      <c r="L28" s="722"/>
      <c r="M28" s="723"/>
      <c r="N28" s="1090"/>
      <c r="O28" s="1092" t="s">
        <v>2283</v>
      </c>
      <c r="P28" s="1093"/>
      <c r="Q28" s="1093"/>
      <c r="R28" s="1093"/>
      <c r="S28" s="1093"/>
      <c r="T28" s="1093"/>
      <c r="U28" s="1094"/>
    </row>
    <row r="29" spans="1:21" ht="30.75" customHeight="1" thickTop="1" thickBot="1">
      <c r="A29" s="713"/>
      <c r="B29" s="713"/>
      <c r="C29" s="713"/>
      <c r="D29" s="713"/>
      <c r="E29" s="723"/>
      <c r="F29" s="728"/>
      <c r="G29" s="728"/>
      <c r="H29" s="728"/>
      <c r="I29" s="728"/>
      <c r="J29" s="722"/>
      <c r="K29" s="713"/>
      <c r="L29" s="722"/>
      <c r="M29" s="723"/>
      <c r="N29" s="713"/>
      <c r="O29" s="732"/>
      <c r="P29" s="733"/>
      <c r="Q29" s="733"/>
      <c r="R29" s="733"/>
      <c r="S29" s="733"/>
      <c r="T29" s="733"/>
      <c r="U29" s="734"/>
    </row>
    <row r="30" spans="1:21" ht="30.75" customHeight="1" thickTop="1" thickBot="1">
      <c r="A30" s="713"/>
      <c r="B30" s="713"/>
      <c r="C30" s="713"/>
      <c r="D30" s="713"/>
      <c r="E30" s="723"/>
      <c r="F30" s="728"/>
      <c r="G30" s="728"/>
      <c r="H30" s="728"/>
      <c r="I30" s="728"/>
      <c r="J30" s="722"/>
      <c r="K30" s="713"/>
      <c r="L30" s="722"/>
      <c r="M30" s="723"/>
      <c r="N30" s="713"/>
      <c r="O30" s="735"/>
      <c r="P30" s="736"/>
      <c r="Q30" s="736"/>
      <c r="R30" s="739" t="s">
        <v>2281</v>
      </c>
      <c r="S30" s="739">
        <v>17</v>
      </c>
      <c r="T30" s="1086" t="s">
        <v>2130</v>
      </c>
      <c r="U30" s="1087"/>
    </row>
    <row r="31" spans="1:21" ht="9" customHeight="1" thickTop="1">
      <c r="A31" s="713"/>
      <c r="B31" s="713"/>
      <c r="C31" s="713"/>
      <c r="D31" s="713"/>
      <c r="E31" s="714"/>
      <c r="F31" s="715"/>
      <c r="G31" s="726"/>
      <c r="H31" s="727"/>
      <c r="I31" s="715"/>
      <c r="J31" s="716"/>
      <c r="K31" s="713"/>
      <c r="L31" s="716"/>
      <c r="M31" s="714"/>
      <c r="N31" s="713"/>
      <c r="O31" s="713"/>
    </row>
    <row r="32" spans="1:21" ht="13.5" customHeight="1">
      <c r="A32" s="713"/>
      <c r="B32" s="713"/>
      <c r="C32" s="713"/>
      <c r="D32" s="713"/>
      <c r="E32" s="713"/>
      <c r="F32" s="713"/>
      <c r="G32" s="713"/>
      <c r="H32" s="713"/>
      <c r="I32" s="713"/>
      <c r="J32" s="713"/>
      <c r="K32" s="713"/>
      <c r="L32" s="713"/>
      <c r="M32" s="713"/>
      <c r="N32" s="713"/>
      <c r="O32" s="713"/>
    </row>
    <row r="33" spans="1:15" ht="13.5" customHeight="1">
      <c r="A33" s="713"/>
      <c r="B33" s="713"/>
      <c r="C33" s="713"/>
      <c r="D33" s="713"/>
      <c r="E33" s="713"/>
      <c r="F33" s="713"/>
      <c r="G33" s="713"/>
      <c r="H33" s="713" t="s">
        <v>2271</v>
      </c>
      <c r="I33" s="713"/>
      <c r="J33" s="713"/>
      <c r="K33" s="713"/>
      <c r="L33" s="713"/>
      <c r="M33" s="713"/>
      <c r="N33" s="713"/>
      <c r="O33" s="713"/>
    </row>
    <row r="34" spans="1:15" ht="24.75" customHeight="1">
      <c r="A34" s="713"/>
      <c r="B34" s="713"/>
      <c r="C34" s="713"/>
      <c r="D34" s="713"/>
      <c r="E34" s="713"/>
      <c r="F34" s="713"/>
      <c r="G34" s="713"/>
      <c r="H34" s="713"/>
      <c r="I34" s="713"/>
      <c r="J34" s="713"/>
      <c r="K34" s="713"/>
      <c r="L34" s="713"/>
      <c r="M34" s="713"/>
      <c r="N34" s="713"/>
      <c r="O34" s="713"/>
    </row>
    <row r="35" spans="1:15" ht="24.75" customHeight="1">
      <c r="A35" s="713"/>
      <c r="B35" s="713"/>
      <c r="C35" s="713"/>
      <c r="D35" s="713"/>
      <c r="E35" s="713"/>
      <c r="F35" s="713"/>
      <c r="G35" s="713"/>
      <c r="H35" s="713"/>
      <c r="I35" s="713"/>
      <c r="J35" s="713"/>
      <c r="K35" s="713"/>
      <c r="L35" s="713"/>
      <c r="M35" s="713"/>
      <c r="N35" s="713"/>
      <c r="O35" s="713"/>
    </row>
    <row r="36" spans="1:15" ht="14.25">
      <c r="A36" s="713"/>
      <c r="B36" s="713"/>
      <c r="C36" s="713"/>
      <c r="D36" s="713"/>
      <c r="E36" s="713"/>
      <c r="F36" s="713"/>
      <c r="G36" s="713"/>
      <c r="H36" s="713"/>
      <c r="I36" s="713"/>
      <c r="J36" s="713"/>
      <c r="K36" s="713"/>
      <c r="L36" s="713"/>
      <c r="M36" s="713"/>
      <c r="N36" s="713"/>
      <c r="O36" s="713"/>
    </row>
  </sheetData>
  <mergeCells count="16">
    <mergeCell ref="T23:U24"/>
    <mergeCell ref="T30:U30"/>
    <mergeCell ref="A1:U1"/>
    <mergeCell ref="G18:H18"/>
    <mergeCell ref="G20:H20"/>
    <mergeCell ref="E20:F20"/>
    <mergeCell ref="I20:J20"/>
    <mergeCell ref="N27:N28"/>
    <mergeCell ref="Q20:S21"/>
    <mergeCell ref="O28:U28"/>
    <mergeCell ref="G6:H6"/>
    <mergeCell ref="E6:F6"/>
    <mergeCell ref="I6:J6"/>
    <mergeCell ref="N11:N12"/>
    <mergeCell ref="N13:N14"/>
    <mergeCell ref="G3:H3"/>
  </mergeCells>
  <phoneticPr fontId="3" type="noConversion"/>
  <pageMargins left="0.48" right="0.44" top="0.44" bottom="0.4" header="0.3" footer="0.3"/>
  <pageSetup paperSize="9" orientation="landscape" verticalDpi="15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S70"/>
  <sheetViews>
    <sheetView view="pageBreakPreview" topLeftCell="A22" zoomScale="85" zoomScaleNormal="100" zoomScaleSheetLayoutView="85" workbookViewId="0">
      <selection activeCell="G59" sqref="G59"/>
    </sheetView>
  </sheetViews>
  <sheetFormatPr defaultColWidth="8.88671875" defaultRowHeight="18" customHeight="1"/>
  <cols>
    <col min="1" max="1" width="10.44140625" style="407" customWidth="1"/>
    <col min="2" max="2" width="8.21875" style="407" customWidth="1"/>
    <col min="3" max="3" width="4.88671875" style="407" customWidth="1"/>
    <col min="4" max="4" width="23.5546875" style="407" customWidth="1"/>
    <col min="5" max="5" width="16.5546875" style="407" customWidth="1"/>
    <col min="6" max="6" width="1.21875" style="407" customWidth="1"/>
    <col min="7" max="7" width="8.77734375" style="407" customWidth="1"/>
    <col min="8" max="8" width="7" style="407" customWidth="1"/>
    <col min="9" max="9" width="8.44140625" style="407" customWidth="1"/>
    <col min="10" max="10" width="3.88671875" style="407" customWidth="1"/>
    <col min="11" max="11" width="9.6640625" style="407" customWidth="1"/>
    <col min="12" max="12" width="5" style="407" customWidth="1"/>
    <col min="13" max="13" width="9.33203125" style="407" customWidth="1"/>
    <col min="14" max="14" width="2.21875" style="407" customWidth="1"/>
    <col min="15" max="15" width="1.6640625" style="407" customWidth="1"/>
    <col min="16" max="16" width="10.109375" style="407" customWidth="1"/>
    <col min="17" max="17" width="4.88671875" style="407" customWidth="1"/>
    <col min="18" max="18" width="8.88671875" style="407"/>
    <col min="19" max="19" width="12.6640625" style="407" customWidth="1"/>
    <col min="20" max="20" width="11.109375" style="407" customWidth="1"/>
    <col min="21" max="24" width="7.6640625" style="407" customWidth="1"/>
    <col min="25" max="16384" width="8.88671875" style="407"/>
  </cols>
  <sheetData>
    <row r="1" spans="1:18" s="553" customFormat="1" ht="31.5" customHeight="1">
      <c r="A1" s="1101" t="s">
        <v>2142</v>
      </c>
      <c r="B1" s="1102"/>
      <c r="C1" s="1102"/>
      <c r="D1" s="1102"/>
      <c r="E1" s="1102"/>
      <c r="F1" s="1102"/>
      <c r="G1" s="1102"/>
      <c r="H1" s="1102"/>
      <c r="I1" s="1102"/>
      <c r="J1" s="1102"/>
      <c r="K1" s="1102"/>
      <c r="L1" s="1102"/>
      <c r="M1" s="1102"/>
      <c r="N1" s="1102"/>
      <c r="O1" s="1102"/>
      <c r="P1" s="1102"/>
      <c r="Q1" s="1103"/>
    </row>
    <row r="2" spans="1:18" s="553" customFormat="1" ht="7.5" customHeight="1">
      <c r="A2" s="770"/>
      <c r="B2" s="554"/>
      <c r="C2" s="554"/>
      <c r="D2" s="555"/>
      <c r="E2" s="555"/>
      <c r="F2" s="556"/>
      <c r="G2" s="557"/>
      <c r="H2" s="557"/>
      <c r="I2" s="557"/>
      <c r="J2" s="557"/>
      <c r="K2" s="557"/>
      <c r="L2" s="557"/>
      <c r="M2" s="557"/>
      <c r="N2" s="557"/>
      <c r="O2" s="558"/>
      <c r="P2" s="559"/>
      <c r="Q2" s="560"/>
    </row>
    <row r="3" spans="1:18" s="553" customFormat="1" ht="28.5" customHeight="1">
      <c r="A3" s="1057" t="s">
        <v>1923</v>
      </c>
      <c r="B3" s="1057"/>
      <c r="C3" s="1057"/>
      <c r="D3" s="1057" t="s">
        <v>1922</v>
      </c>
      <c r="E3" s="1057"/>
      <c r="F3" s="1057" t="s">
        <v>1740</v>
      </c>
      <c r="G3" s="1057"/>
      <c r="H3" s="1057"/>
      <c r="I3" s="1057"/>
      <c r="J3" s="1057"/>
      <c r="K3" s="1057"/>
      <c r="L3" s="1057"/>
      <c r="M3" s="1057"/>
      <c r="N3" s="1057"/>
      <c r="O3" s="1057"/>
      <c r="P3" s="1057" t="s">
        <v>617</v>
      </c>
      <c r="Q3" s="1057"/>
    </row>
    <row r="4" spans="1:18" ht="20.25" customHeight="1">
      <c r="A4" s="1096" t="s">
        <v>2709</v>
      </c>
      <c r="B4" s="1097"/>
      <c r="C4" s="1098"/>
      <c r="D4" s="932" t="s">
        <v>2710</v>
      </c>
      <c r="E4" s="933"/>
      <c r="F4" s="839"/>
      <c r="G4" s="815"/>
      <c r="H4" s="815"/>
      <c r="I4" s="815"/>
      <c r="J4" s="815"/>
      <c r="K4" s="815"/>
      <c r="L4" s="815"/>
      <c r="M4" s="815"/>
      <c r="N4" s="815"/>
      <c r="O4" s="934"/>
      <c r="P4" s="935"/>
      <c r="Q4" s="936"/>
    </row>
    <row r="5" spans="1:18" ht="20.25" customHeight="1">
      <c r="A5" s="772" t="s">
        <v>2048</v>
      </c>
      <c r="B5" s="563">
        <v>10</v>
      </c>
      <c r="C5" s="663" t="s">
        <v>640</v>
      </c>
      <c r="D5" s="771" t="s">
        <v>411</v>
      </c>
      <c r="E5" s="564"/>
      <c r="F5" s="566"/>
      <c r="G5" s="1100" t="s">
        <v>2743</v>
      </c>
      <c r="H5" s="1100"/>
      <c r="I5" s="1100"/>
      <c r="J5" s="1100"/>
      <c r="K5" s="1100"/>
      <c r="L5" s="1100"/>
      <c r="M5" s="1100"/>
      <c r="N5" s="565"/>
      <c r="O5" s="561"/>
      <c r="P5" s="773">
        <f>1*B5</f>
        <v>10</v>
      </c>
      <c r="Q5" s="562" t="s">
        <v>31</v>
      </c>
    </row>
    <row r="6" spans="1:18" ht="20.25" customHeight="1">
      <c r="A6" s="772"/>
      <c r="B6" s="563"/>
      <c r="C6" s="663"/>
      <c r="D6" s="771" t="s">
        <v>2531</v>
      </c>
      <c r="E6" s="564"/>
      <c r="F6" s="566"/>
      <c r="G6" s="1100" t="s">
        <v>2744</v>
      </c>
      <c r="H6" s="1100"/>
      <c r="I6" s="1100"/>
      <c r="J6" s="1100"/>
      <c r="K6" s="1100"/>
      <c r="L6" s="1100"/>
      <c r="M6" s="1100"/>
      <c r="N6" s="565"/>
      <c r="O6" s="561"/>
      <c r="P6" s="773">
        <f>ROUND((P5-(0.8*0.5*B5)),2)</f>
        <v>6</v>
      </c>
      <c r="Q6" s="562" t="s">
        <v>31</v>
      </c>
    </row>
    <row r="7" spans="1:18" ht="20.25" customHeight="1">
      <c r="A7" s="772"/>
      <c r="B7" s="563"/>
      <c r="C7" s="663"/>
      <c r="D7" s="771" t="s">
        <v>721</v>
      </c>
      <c r="E7" s="564"/>
      <c r="F7" s="566"/>
      <c r="G7" s="1100"/>
      <c r="H7" s="1100"/>
      <c r="I7" s="1100"/>
      <c r="J7" s="1100"/>
      <c r="K7" s="1100"/>
      <c r="L7" s="1100"/>
      <c r="M7" s="1100"/>
      <c r="N7" s="565"/>
      <c r="O7" s="561"/>
      <c r="P7" s="773">
        <f>P5-P6</f>
        <v>4</v>
      </c>
      <c r="Q7" s="562" t="s">
        <v>250</v>
      </c>
    </row>
    <row r="8" spans="1:18" ht="20.25" customHeight="1">
      <c r="A8" s="772"/>
      <c r="B8" s="563"/>
      <c r="C8" s="663"/>
      <c r="D8" s="771" t="s">
        <v>2745</v>
      </c>
      <c r="E8" s="564" t="s">
        <v>2711</v>
      </c>
      <c r="F8" s="566"/>
      <c r="G8" s="1100" t="s">
        <v>2742</v>
      </c>
      <c r="H8" s="1100"/>
      <c r="I8" s="1100"/>
      <c r="J8" s="1100"/>
      <c r="K8" s="1100"/>
      <c r="L8" s="1100"/>
      <c r="M8" s="1100"/>
      <c r="N8" s="565"/>
      <c r="O8" s="561"/>
      <c r="P8" s="773">
        <f>B5</f>
        <v>10</v>
      </c>
      <c r="Q8" s="562" t="s">
        <v>640</v>
      </c>
      <c r="R8" s="939"/>
    </row>
    <row r="9" spans="1:18" ht="20.25" customHeight="1">
      <c r="A9" s="772"/>
      <c r="B9" s="563"/>
      <c r="C9" s="663"/>
      <c r="D9" s="771" t="s">
        <v>2562</v>
      </c>
      <c r="E9" s="564"/>
      <c r="F9" s="566"/>
      <c r="G9" s="980" t="s">
        <v>2712</v>
      </c>
      <c r="H9" s="946"/>
      <c r="I9" s="946"/>
      <c r="J9" s="946"/>
      <c r="K9" s="568"/>
      <c r="L9" s="569"/>
      <c r="M9" s="565"/>
      <c r="N9" s="565"/>
      <c r="O9" s="561"/>
      <c r="P9" s="985">
        <f>2.4*0.1*B5</f>
        <v>2.4</v>
      </c>
      <c r="Q9" s="407" t="s">
        <v>31</v>
      </c>
    </row>
    <row r="10" spans="1:18" ht="20.25" customHeight="1">
      <c r="A10" s="772"/>
      <c r="B10" s="937"/>
      <c r="C10" s="937"/>
      <c r="D10" s="771"/>
      <c r="E10" s="564"/>
      <c r="F10" s="941"/>
      <c r="G10" s="942"/>
      <c r="H10" s="942"/>
      <c r="I10" s="942"/>
      <c r="J10" s="567"/>
      <c r="K10" s="568"/>
      <c r="L10" s="569"/>
      <c r="M10" s="565"/>
      <c r="N10" s="565"/>
      <c r="O10" s="561"/>
      <c r="P10" s="773"/>
      <c r="Q10" s="562"/>
    </row>
    <row r="11" spans="1:18" ht="20.25" customHeight="1">
      <c r="A11" s="982" t="s">
        <v>2713</v>
      </c>
      <c r="B11" s="983"/>
      <c r="C11" s="984"/>
      <c r="D11" s="932" t="s">
        <v>2700</v>
      </c>
      <c r="E11" s="933"/>
      <c r="F11" s="839"/>
      <c r="G11" s="815"/>
      <c r="H11" s="815"/>
      <c r="I11" s="815"/>
      <c r="J11" s="815"/>
      <c r="K11" s="815"/>
      <c r="L11" s="815"/>
      <c r="M11" s="815"/>
      <c r="N11" s="815"/>
      <c r="O11" s="934"/>
      <c r="P11" s="935"/>
      <c r="Q11" s="936"/>
    </row>
    <row r="12" spans="1:18" ht="20.25" customHeight="1">
      <c r="A12" s="772" t="s">
        <v>2048</v>
      </c>
      <c r="B12" s="563">
        <v>30</v>
      </c>
      <c r="C12" s="663" t="s">
        <v>640</v>
      </c>
      <c r="D12" s="771" t="s">
        <v>411</v>
      </c>
      <c r="E12" s="564"/>
      <c r="F12" s="566"/>
      <c r="G12" s="981" t="s">
        <v>2573</v>
      </c>
      <c r="H12" s="981"/>
      <c r="I12" s="981"/>
      <c r="J12" s="981"/>
      <c r="K12" s="981"/>
      <c r="L12" s="981"/>
      <c r="M12" s="981"/>
      <c r="N12" s="565"/>
      <c r="O12" s="561"/>
      <c r="P12" s="773">
        <f>1.1*(0.75*2+0.55*2)*0.5*B12</f>
        <v>42.900000000000006</v>
      </c>
      <c r="Q12" s="562" t="s">
        <v>31</v>
      </c>
    </row>
    <row r="13" spans="1:18" ht="20.25" customHeight="1">
      <c r="A13" s="772"/>
      <c r="B13" s="563"/>
      <c r="C13" s="663"/>
      <c r="D13" s="771" t="s">
        <v>2531</v>
      </c>
      <c r="E13" s="564"/>
      <c r="F13" s="566"/>
      <c r="G13" s="981" t="s">
        <v>2574</v>
      </c>
      <c r="H13" s="981"/>
      <c r="I13" s="981"/>
      <c r="J13" s="981"/>
      <c r="K13" s="981"/>
      <c r="L13" s="981"/>
      <c r="M13" s="981"/>
      <c r="N13" s="565"/>
      <c r="O13" s="561"/>
      <c r="P13" s="773">
        <f>ROUND((P12-(0.7*0.5*B12)),2)</f>
        <v>32.4</v>
      </c>
      <c r="Q13" s="562" t="s">
        <v>31</v>
      </c>
    </row>
    <row r="14" spans="1:18" ht="20.25" customHeight="1">
      <c r="A14" s="772"/>
      <c r="B14" s="563"/>
      <c r="C14" s="663"/>
      <c r="D14" s="771" t="s">
        <v>721</v>
      </c>
      <c r="E14" s="564"/>
      <c r="F14" s="566"/>
      <c r="G14" s="981"/>
      <c r="H14" s="981"/>
      <c r="I14" s="981"/>
      <c r="J14" s="981"/>
      <c r="K14" s="981"/>
      <c r="L14" s="981"/>
      <c r="M14" s="981"/>
      <c r="N14" s="565"/>
      <c r="O14" s="561"/>
      <c r="P14" s="773">
        <f>P12-P13</f>
        <v>10.500000000000007</v>
      </c>
      <c r="Q14" s="562" t="s">
        <v>250</v>
      </c>
    </row>
    <row r="15" spans="1:18" ht="20.25" customHeight="1">
      <c r="A15" s="772"/>
      <c r="B15" s="563"/>
      <c r="C15" s="663"/>
      <c r="D15" s="771" t="s">
        <v>2575</v>
      </c>
      <c r="E15" s="564" t="s">
        <v>2714</v>
      </c>
      <c r="F15" s="566"/>
      <c r="G15" s="981" t="s">
        <v>2572</v>
      </c>
      <c r="H15" s="981"/>
      <c r="I15" s="981"/>
      <c r="J15" s="981"/>
      <c r="K15" s="981"/>
      <c r="L15" s="981"/>
      <c r="M15" s="981"/>
      <c r="N15" s="565"/>
      <c r="O15" s="561"/>
      <c r="P15" s="773">
        <f>6*6</f>
        <v>36</v>
      </c>
      <c r="Q15" s="562" t="s">
        <v>640</v>
      </c>
      <c r="R15" s="939"/>
    </row>
    <row r="16" spans="1:18" ht="20.25" customHeight="1">
      <c r="A16" s="837"/>
      <c r="B16" s="553"/>
      <c r="C16" s="838"/>
      <c r="E16" s="564"/>
      <c r="F16" s="566"/>
      <c r="G16" s="981"/>
      <c r="H16" s="937"/>
      <c r="I16" s="981"/>
      <c r="J16" s="567"/>
      <c r="K16" s="568"/>
      <c r="L16" s="569"/>
      <c r="M16" s="565"/>
      <c r="N16" s="565"/>
      <c r="O16" s="561"/>
    </row>
    <row r="17" spans="1:19" ht="18" customHeight="1">
      <c r="A17" s="1096" t="s">
        <v>2715</v>
      </c>
      <c r="B17" s="1097"/>
      <c r="C17" s="1098"/>
      <c r="D17" s="932" t="s">
        <v>2716</v>
      </c>
      <c r="E17" s="933"/>
      <c r="F17" s="839"/>
      <c r="G17" s="815"/>
      <c r="H17" s="815"/>
      <c r="I17" s="815"/>
      <c r="J17" s="815"/>
      <c r="K17" s="815"/>
      <c r="L17" s="815"/>
      <c r="M17" s="815"/>
      <c r="N17" s="815"/>
      <c r="O17" s="934"/>
      <c r="P17" s="935"/>
      <c r="Q17" s="936"/>
    </row>
    <row r="18" spans="1:19" ht="18" customHeight="1">
      <c r="A18" s="772" t="s">
        <v>2048</v>
      </c>
      <c r="B18" s="563">
        <v>20</v>
      </c>
      <c r="C18" s="663" t="s">
        <v>640</v>
      </c>
      <c r="D18" s="771" t="s">
        <v>411</v>
      </c>
      <c r="E18" s="564"/>
      <c r="F18" s="566"/>
      <c r="G18" s="1100" t="s">
        <v>2717</v>
      </c>
      <c r="H18" s="1100"/>
      <c r="I18" s="1100"/>
      <c r="J18" s="1100"/>
      <c r="K18" s="1100"/>
      <c r="L18" s="1100"/>
      <c r="M18" s="1100"/>
      <c r="N18" s="565"/>
      <c r="O18" s="561"/>
      <c r="P18" s="773">
        <f>3*(3*2+2*2)*0.5*B18</f>
        <v>300</v>
      </c>
      <c r="Q18" s="562" t="s">
        <v>31</v>
      </c>
    </row>
    <row r="19" spans="1:19" ht="18" customHeight="1">
      <c r="A19" s="772"/>
      <c r="B19" s="563"/>
      <c r="C19" s="663"/>
      <c r="D19" s="771" t="s">
        <v>2531</v>
      </c>
      <c r="E19" s="564"/>
      <c r="F19" s="566"/>
      <c r="G19" s="1100" t="s">
        <v>2701</v>
      </c>
      <c r="H19" s="1100"/>
      <c r="I19" s="1100"/>
      <c r="J19" s="1100"/>
      <c r="K19" s="1100"/>
      <c r="L19" s="1100"/>
      <c r="M19" s="1100"/>
      <c r="N19" s="565"/>
      <c r="O19" s="561"/>
      <c r="P19" s="773">
        <f>ROUND((P18-(3*2*B18)),2)</f>
        <v>180</v>
      </c>
      <c r="Q19" s="562" t="s">
        <v>31</v>
      </c>
    </row>
    <row r="20" spans="1:19" ht="18" customHeight="1">
      <c r="A20" s="772"/>
      <c r="B20" s="563"/>
      <c r="C20" s="663"/>
      <c r="D20" s="771" t="s">
        <v>721</v>
      </c>
      <c r="E20" s="564"/>
      <c r="F20" s="566"/>
      <c r="G20" s="1100"/>
      <c r="H20" s="1100"/>
      <c r="I20" s="1100"/>
      <c r="J20" s="1100"/>
      <c r="K20" s="1100"/>
      <c r="L20" s="1100"/>
      <c r="M20" s="1100"/>
      <c r="N20" s="565"/>
      <c r="O20" s="561"/>
      <c r="P20" s="773">
        <f>P18-P19</f>
        <v>120</v>
      </c>
      <c r="Q20" s="562" t="s">
        <v>250</v>
      </c>
    </row>
    <row r="21" spans="1:19" ht="18" customHeight="1">
      <c r="A21" s="772"/>
      <c r="B21" s="563"/>
      <c r="C21" s="663"/>
      <c r="D21" s="771" t="s">
        <v>1938</v>
      </c>
      <c r="E21" s="564" t="s">
        <v>2579</v>
      </c>
      <c r="F21" s="566"/>
      <c r="G21" s="1100" t="s">
        <v>2572</v>
      </c>
      <c r="H21" s="1100"/>
      <c r="I21" s="1100"/>
      <c r="J21" s="1100"/>
      <c r="K21" s="1100"/>
      <c r="L21" s="1100"/>
      <c r="M21" s="1100"/>
      <c r="N21" s="565"/>
      <c r="O21" s="561"/>
      <c r="P21" s="773">
        <f>6*4</f>
        <v>24</v>
      </c>
      <c r="Q21" s="562" t="s">
        <v>640</v>
      </c>
    </row>
    <row r="22" spans="1:19" ht="18" customHeight="1">
      <c r="A22" s="772"/>
      <c r="B22" s="563"/>
      <c r="C22" s="663"/>
      <c r="D22" s="407" t="s">
        <v>2690</v>
      </c>
      <c r="E22" s="564"/>
      <c r="F22" s="566"/>
      <c r="G22" s="980" t="s">
        <v>2708</v>
      </c>
      <c r="H22" s="946"/>
      <c r="I22" s="946"/>
      <c r="J22" s="946"/>
      <c r="K22" s="568"/>
      <c r="L22" s="569"/>
      <c r="M22" s="565"/>
      <c r="N22" s="565"/>
      <c r="O22" s="561"/>
      <c r="P22" s="407">
        <f>2*4*0.2*3</f>
        <v>4.8000000000000007</v>
      </c>
      <c r="Q22" s="407" t="s">
        <v>31</v>
      </c>
    </row>
    <row r="23" spans="1:19" ht="18" customHeight="1">
      <c r="A23" s="772"/>
      <c r="B23" s="563"/>
      <c r="C23" s="663"/>
      <c r="E23" s="564" t="s">
        <v>2689</v>
      </c>
      <c r="F23" s="566"/>
      <c r="G23" s="980" t="s">
        <v>2708</v>
      </c>
      <c r="H23" s="937"/>
      <c r="I23" s="972"/>
      <c r="J23" s="567"/>
      <c r="K23" s="568"/>
      <c r="L23" s="569"/>
      <c r="M23" s="565"/>
      <c r="N23" s="565"/>
      <c r="O23" s="561"/>
      <c r="P23" s="407">
        <f>P22</f>
        <v>4.8000000000000007</v>
      </c>
      <c r="Q23" s="407" t="s">
        <v>31</v>
      </c>
    </row>
    <row r="24" spans="1:19" ht="18" hidden="1" customHeight="1">
      <c r="A24" s="1096" t="s">
        <v>2592</v>
      </c>
      <c r="B24" s="1097"/>
      <c r="C24" s="1098"/>
      <c r="D24" s="932" t="s">
        <v>2571</v>
      </c>
      <c r="E24" s="933"/>
      <c r="F24" s="839"/>
      <c r="G24" s="815"/>
      <c r="H24" s="815"/>
      <c r="I24" s="815"/>
      <c r="J24" s="815"/>
      <c r="K24" s="815"/>
      <c r="L24" s="815"/>
      <c r="M24" s="815"/>
      <c r="N24" s="815"/>
      <c r="O24" s="934"/>
      <c r="P24" s="935"/>
      <c r="Q24" s="936"/>
    </row>
    <row r="25" spans="1:19" ht="18" hidden="1" customHeight="1">
      <c r="A25" s="772" t="s">
        <v>2048</v>
      </c>
      <c r="B25" s="563">
        <v>10</v>
      </c>
      <c r="C25" s="663" t="s">
        <v>640</v>
      </c>
      <c r="D25" s="771" t="s">
        <v>411</v>
      </c>
      <c r="E25" s="564"/>
      <c r="F25" s="566"/>
      <c r="G25" s="1100" t="s">
        <v>2573</v>
      </c>
      <c r="H25" s="1100"/>
      <c r="I25" s="1100"/>
      <c r="J25" s="1100"/>
      <c r="K25" s="1100"/>
      <c r="L25" s="1100"/>
      <c r="M25" s="1100"/>
      <c r="N25" s="565"/>
      <c r="O25" s="561"/>
      <c r="P25" s="773">
        <v>0</v>
      </c>
      <c r="Q25" s="562" t="s">
        <v>31</v>
      </c>
    </row>
    <row r="26" spans="1:19" ht="18" hidden="1" customHeight="1">
      <c r="A26" s="772"/>
      <c r="B26" s="563"/>
      <c r="C26" s="663"/>
      <c r="D26" s="771" t="s">
        <v>2531</v>
      </c>
      <c r="E26" s="564"/>
      <c r="F26" s="566"/>
      <c r="G26" s="1100" t="s">
        <v>2574</v>
      </c>
      <c r="H26" s="1100"/>
      <c r="I26" s="1100"/>
      <c r="J26" s="1100"/>
      <c r="K26" s="1100"/>
      <c r="L26" s="1100"/>
      <c r="M26" s="1100"/>
      <c r="N26" s="565"/>
      <c r="O26" s="561"/>
      <c r="P26" s="773">
        <v>0</v>
      </c>
      <c r="Q26" s="562" t="s">
        <v>31</v>
      </c>
    </row>
    <row r="27" spans="1:19" ht="18" hidden="1" customHeight="1">
      <c r="A27" s="772"/>
      <c r="B27" s="563"/>
      <c r="C27" s="663"/>
      <c r="D27" s="771" t="s">
        <v>721</v>
      </c>
      <c r="E27" s="564"/>
      <c r="F27" s="566"/>
      <c r="G27" s="1100"/>
      <c r="H27" s="1100"/>
      <c r="I27" s="1100"/>
      <c r="J27" s="1100"/>
      <c r="K27" s="1100"/>
      <c r="L27" s="1100"/>
      <c r="M27" s="1100"/>
      <c r="N27" s="565"/>
      <c r="O27" s="561"/>
      <c r="P27" s="773">
        <v>0</v>
      </c>
      <c r="Q27" s="562" t="s">
        <v>250</v>
      </c>
    </row>
    <row r="28" spans="1:19" ht="18" hidden="1" customHeight="1">
      <c r="A28" s="772"/>
      <c r="B28" s="563"/>
      <c r="C28" s="663"/>
      <c r="D28" s="771" t="s">
        <v>2581</v>
      </c>
      <c r="E28" s="564" t="s">
        <v>2414</v>
      </c>
      <c r="F28" s="566"/>
      <c r="G28" s="1100" t="s">
        <v>2572</v>
      </c>
      <c r="H28" s="1100"/>
      <c r="I28" s="1100"/>
      <c r="J28" s="1100"/>
      <c r="K28" s="1100"/>
      <c r="L28" s="1100"/>
      <c r="M28" s="1100"/>
      <c r="N28" s="565"/>
      <c r="O28" s="561"/>
      <c r="P28" s="773">
        <v>0</v>
      </c>
      <c r="Q28" s="562" t="s">
        <v>640</v>
      </c>
    </row>
    <row r="29" spans="1:19" s="553" customFormat="1" ht="20.25" hidden="1" customHeight="1">
      <c r="A29" s="837"/>
      <c r="C29" s="838"/>
      <c r="D29" s="407" t="s">
        <v>2578</v>
      </c>
      <c r="E29" s="564"/>
      <c r="F29" s="566"/>
      <c r="G29" s="942" t="s">
        <v>2586</v>
      </c>
      <c r="H29" s="946"/>
      <c r="I29" s="946"/>
      <c r="J29" s="946"/>
      <c r="K29" s="568"/>
      <c r="L29" s="569"/>
      <c r="M29" s="565"/>
      <c r="N29" s="565"/>
      <c r="O29" s="561"/>
      <c r="P29" s="407">
        <v>0</v>
      </c>
      <c r="Q29" s="407" t="s">
        <v>31</v>
      </c>
      <c r="S29" s="947"/>
    </row>
    <row r="30" spans="1:19" s="553" customFormat="1" ht="20.25" hidden="1" customHeight="1">
      <c r="A30" s="837"/>
      <c r="C30" s="838"/>
      <c r="D30" s="407"/>
      <c r="E30" s="564" t="s">
        <v>2576</v>
      </c>
      <c r="F30" s="566"/>
      <c r="G30" s="942" t="s">
        <v>2586</v>
      </c>
      <c r="H30" s="937"/>
      <c r="I30" s="942"/>
      <c r="J30" s="567"/>
      <c r="K30" s="568"/>
      <c r="L30" s="569"/>
      <c r="M30" s="565"/>
      <c r="N30" s="565"/>
      <c r="O30" s="561"/>
      <c r="P30" s="407">
        <v>0</v>
      </c>
      <c r="Q30" s="407" t="s">
        <v>31</v>
      </c>
      <c r="S30" s="947"/>
    </row>
    <row r="31" spans="1:19" ht="18" hidden="1" customHeight="1">
      <c r="D31" s="812" t="s">
        <v>2587</v>
      </c>
      <c r="E31" s="884" t="s">
        <v>2588</v>
      </c>
      <c r="P31" s="812">
        <v>0</v>
      </c>
      <c r="Q31" s="407" t="s">
        <v>317</v>
      </c>
    </row>
    <row r="32" spans="1:19" ht="18" hidden="1" customHeight="1">
      <c r="A32" s="1096" t="s">
        <v>2593</v>
      </c>
      <c r="B32" s="1097"/>
      <c r="C32" s="1098"/>
      <c r="D32" s="932" t="s">
        <v>2591</v>
      </c>
      <c r="E32" s="933"/>
      <c r="F32" s="839"/>
      <c r="G32" s="815"/>
      <c r="H32" s="815"/>
      <c r="I32" s="815"/>
      <c r="J32" s="815"/>
      <c r="K32" s="815"/>
      <c r="L32" s="815"/>
      <c r="M32" s="815"/>
      <c r="N32" s="815"/>
      <c r="O32" s="934"/>
      <c r="P32" s="935">
        <v>0</v>
      </c>
      <c r="Q32" s="936"/>
    </row>
    <row r="33" spans="1:19" s="553" customFormat="1" ht="20.25" hidden="1" customHeight="1">
      <c r="A33" s="772" t="s">
        <v>2048</v>
      </c>
      <c r="B33" s="563">
        <v>9</v>
      </c>
      <c r="C33" s="663" t="s">
        <v>640</v>
      </c>
      <c r="D33" s="407" t="s">
        <v>2578</v>
      </c>
      <c r="E33" s="564"/>
      <c r="F33" s="566"/>
      <c r="G33" s="942" t="s">
        <v>2594</v>
      </c>
      <c r="H33" s="946"/>
      <c r="I33" s="946"/>
      <c r="J33" s="946"/>
      <c r="K33" s="568"/>
      <c r="L33" s="569"/>
      <c r="M33" s="565"/>
      <c r="N33" s="565"/>
      <c r="O33" s="561"/>
      <c r="P33" s="407">
        <v>0</v>
      </c>
      <c r="Q33" s="407" t="s">
        <v>31</v>
      </c>
      <c r="S33" s="947"/>
    </row>
    <row r="34" spans="1:19" s="553" customFormat="1" ht="20.25" hidden="1" customHeight="1">
      <c r="A34" s="837"/>
      <c r="C34" s="838"/>
      <c r="D34" s="407"/>
      <c r="E34" s="564" t="s">
        <v>2576</v>
      </c>
      <c r="F34" s="566"/>
      <c r="G34" s="942" t="s">
        <v>2594</v>
      </c>
      <c r="H34" s="937"/>
      <c r="I34" s="942"/>
      <c r="J34" s="567"/>
      <c r="K34" s="568"/>
      <c r="L34" s="569"/>
      <c r="M34" s="565"/>
      <c r="N34" s="565"/>
      <c r="O34" s="561"/>
      <c r="P34" s="407">
        <v>0</v>
      </c>
      <c r="Q34" s="407" t="s">
        <v>31</v>
      </c>
      <c r="S34" s="947"/>
    </row>
    <row r="35" spans="1:19" ht="18" hidden="1" customHeight="1">
      <c r="A35" s="1096" t="s">
        <v>2595</v>
      </c>
      <c r="B35" s="1097"/>
      <c r="C35" s="1098"/>
      <c r="D35" s="932" t="s">
        <v>2571</v>
      </c>
      <c r="E35" s="933"/>
      <c r="F35" s="839"/>
      <c r="G35" s="815"/>
      <c r="H35" s="815"/>
      <c r="I35" s="815"/>
      <c r="J35" s="815"/>
      <c r="K35" s="815"/>
      <c r="L35" s="815"/>
      <c r="M35" s="815"/>
      <c r="N35" s="815"/>
      <c r="O35" s="934"/>
      <c r="P35" s="935"/>
      <c r="Q35" s="936"/>
    </row>
    <row r="36" spans="1:19" ht="18" hidden="1" customHeight="1">
      <c r="A36" s="772" t="s">
        <v>2048</v>
      </c>
      <c r="B36" s="563">
        <v>12</v>
      </c>
      <c r="C36" s="663" t="s">
        <v>640</v>
      </c>
      <c r="D36" s="771" t="s">
        <v>411</v>
      </c>
      <c r="E36" s="564"/>
      <c r="F36" s="566"/>
      <c r="G36" s="1100" t="s">
        <v>2573</v>
      </c>
      <c r="H36" s="1100"/>
      <c r="I36" s="1100"/>
      <c r="J36" s="1100"/>
      <c r="K36" s="1100"/>
      <c r="L36" s="1100"/>
      <c r="M36" s="1100"/>
      <c r="N36" s="565"/>
      <c r="O36" s="561"/>
      <c r="P36" s="773">
        <v>0</v>
      </c>
      <c r="Q36" s="562" t="s">
        <v>31</v>
      </c>
    </row>
    <row r="37" spans="1:19" ht="18" hidden="1" customHeight="1">
      <c r="A37" s="772"/>
      <c r="B37" s="563"/>
      <c r="C37" s="663"/>
      <c r="D37" s="771" t="s">
        <v>2531</v>
      </c>
      <c r="E37" s="564"/>
      <c r="F37" s="566"/>
      <c r="G37" s="1100" t="s">
        <v>2574</v>
      </c>
      <c r="H37" s="1100"/>
      <c r="I37" s="1100"/>
      <c r="J37" s="1100"/>
      <c r="K37" s="1100"/>
      <c r="L37" s="1100"/>
      <c r="M37" s="1100"/>
      <c r="N37" s="565"/>
      <c r="O37" s="561"/>
      <c r="P37" s="773">
        <v>0</v>
      </c>
      <c r="Q37" s="562" t="s">
        <v>31</v>
      </c>
    </row>
    <row r="38" spans="1:19" ht="18" hidden="1" customHeight="1">
      <c r="A38" s="772"/>
      <c r="B38" s="563"/>
      <c r="C38" s="663"/>
      <c r="D38" s="771" t="s">
        <v>721</v>
      </c>
      <c r="E38" s="564"/>
      <c r="F38" s="566"/>
      <c r="G38" s="1100"/>
      <c r="H38" s="1100"/>
      <c r="I38" s="1100"/>
      <c r="J38" s="1100"/>
      <c r="K38" s="1100"/>
      <c r="L38" s="1100"/>
      <c r="M38" s="1100"/>
      <c r="N38" s="565"/>
      <c r="O38" s="561"/>
      <c r="P38" s="773">
        <v>0</v>
      </c>
      <c r="Q38" s="562" t="s">
        <v>250</v>
      </c>
    </row>
    <row r="39" spans="1:19" ht="18" hidden="1" customHeight="1">
      <c r="A39" s="772"/>
      <c r="B39" s="563"/>
      <c r="C39" s="663"/>
      <c r="D39" s="771" t="s">
        <v>2581</v>
      </c>
      <c r="E39" s="564" t="s">
        <v>2411</v>
      </c>
      <c r="F39" s="566"/>
      <c r="G39" s="1099" t="s">
        <v>2572</v>
      </c>
      <c r="H39" s="1099"/>
      <c r="I39" s="1099"/>
      <c r="J39" s="1099"/>
      <c r="K39" s="1099"/>
      <c r="L39" s="1099"/>
      <c r="M39" s="1099"/>
      <c r="N39" s="565"/>
      <c r="O39" s="561"/>
      <c r="P39" s="773">
        <v>0</v>
      </c>
      <c r="Q39" s="562" t="s">
        <v>640</v>
      </c>
    </row>
    <row r="40" spans="1:19" ht="18" hidden="1" customHeight="1">
      <c r="A40" s="1096" t="s">
        <v>2596</v>
      </c>
      <c r="B40" s="1097"/>
      <c r="C40" s="1098"/>
      <c r="D40" s="932" t="s">
        <v>2571</v>
      </c>
      <c r="E40" s="933"/>
      <c r="F40" s="839"/>
      <c r="G40" s="815"/>
      <c r="H40" s="815"/>
      <c r="I40" s="815"/>
      <c r="J40" s="815"/>
      <c r="K40" s="815"/>
      <c r="L40" s="815"/>
      <c r="M40" s="815"/>
      <c r="N40" s="815"/>
      <c r="O40" s="934"/>
      <c r="P40" s="935">
        <v>0</v>
      </c>
      <c r="Q40" s="936"/>
    </row>
    <row r="41" spans="1:19" ht="18" hidden="1" customHeight="1">
      <c r="A41" s="772" t="s">
        <v>2048</v>
      </c>
      <c r="B41" s="563">
        <v>4</v>
      </c>
      <c r="C41" s="663" t="s">
        <v>640</v>
      </c>
      <c r="D41" s="771" t="s">
        <v>411</v>
      </c>
      <c r="E41" s="564"/>
      <c r="F41" s="566"/>
      <c r="G41" s="1100" t="s">
        <v>2573</v>
      </c>
      <c r="H41" s="1100"/>
      <c r="I41" s="1100"/>
      <c r="J41" s="1100"/>
      <c r="K41" s="1100"/>
      <c r="L41" s="1100"/>
      <c r="M41" s="1100"/>
      <c r="N41" s="565"/>
      <c r="O41" s="561"/>
      <c r="P41" s="773">
        <v>0</v>
      </c>
      <c r="Q41" s="562" t="s">
        <v>31</v>
      </c>
    </row>
    <row r="42" spans="1:19" ht="18" hidden="1" customHeight="1">
      <c r="A42" s="772"/>
      <c r="B42" s="563"/>
      <c r="C42" s="663"/>
      <c r="D42" s="771" t="s">
        <v>2531</v>
      </c>
      <c r="E42" s="564"/>
      <c r="F42" s="566"/>
      <c r="G42" s="1100" t="s">
        <v>2574</v>
      </c>
      <c r="H42" s="1100"/>
      <c r="I42" s="1100"/>
      <c r="J42" s="1100"/>
      <c r="K42" s="1100"/>
      <c r="L42" s="1100"/>
      <c r="M42" s="1100"/>
      <c r="N42" s="565"/>
      <c r="O42" s="561"/>
      <c r="P42" s="773">
        <v>0</v>
      </c>
      <c r="Q42" s="562" t="s">
        <v>31</v>
      </c>
    </row>
    <row r="43" spans="1:19" ht="18" hidden="1" customHeight="1">
      <c r="A43" s="772"/>
      <c r="B43" s="563"/>
      <c r="C43" s="663"/>
      <c r="D43" s="771" t="s">
        <v>721</v>
      </c>
      <c r="E43" s="564"/>
      <c r="F43" s="566"/>
      <c r="G43" s="1100"/>
      <c r="H43" s="1100"/>
      <c r="I43" s="1100"/>
      <c r="J43" s="1100"/>
      <c r="K43" s="1100"/>
      <c r="L43" s="1100"/>
      <c r="M43" s="1100"/>
      <c r="N43" s="565"/>
      <c r="O43" s="561"/>
      <c r="P43" s="773">
        <v>0</v>
      </c>
      <c r="Q43" s="562" t="s">
        <v>250</v>
      </c>
    </row>
    <row r="44" spans="1:19" ht="18" hidden="1" customHeight="1">
      <c r="A44" s="772"/>
      <c r="B44" s="563"/>
      <c r="C44" s="663"/>
      <c r="D44" s="771" t="s">
        <v>2581</v>
      </c>
      <c r="E44" s="564" t="s">
        <v>2579</v>
      </c>
      <c r="F44" s="566"/>
      <c r="G44" s="1100" t="s">
        <v>2572</v>
      </c>
      <c r="H44" s="1100"/>
      <c r="I44" s="1100"/>
      <c r="J44" s="1100"/>
      <c r="K44" s="1100"/>
      <c r="L44" s="1100"/>
      <c r="M44" s="1100"/>
      <c r="N44" s="565"/>
      <c r="O44" s="561"/>
      <c r="P44" s="773">
        <v>0</v>
      </c>
      <c r="Q44" s="562" t="s">
        <v>640</v>
      </c>
    </row>
    <row r="45" spans="1:19" s="553" customFormat="1" ht="20.25" hidden="1" customHeight="1">
      <c r="A45" s="837"/>
      <c r="C45" s="838"/>
      <c r="D45" s="407" t="s">
        <v>2578</v>
      </c>
      <c r="E45" s="564"/>
      <c r="F45" s="566"/>
      <c r="G45" s="942" t="s">
        <v>2597</v>
      </c>
      <c r="H45" s="946"/>
      <c r="I45" s="946"/>
      <c r="J45" s="946"/>
      <c r="K45" s="568"/>
      <c r="L45" s="569"/>
      <c r="M45" s="565"/>
      <c r="N45" s="565"/>
      <c r="O45" s="561"/>
      <c r="P45" s="407">
        <v>0</v>
      </c>
      <c r="Q45" s="407" t="s">
        <v>31</v>
      </c>
      <c r="S45" s="947"/>
    </row>
    <row r="46" spans="1:19" s="553" customFormat="1" ht="20.25" hidden="1" customHeight="1">
      <c r="A46" s="837"/>
      <c r="C46" s="838"/>
      <c r="D46" s="407"/>
      <c r="E46" s="564" t="s">
        <v>2576</v>
      </c>
      <c r="F46" s="566"/>
      <c r="G46" s="942" t="s">
        <v>2597</v>
      </c>
      <c r="H46" s="937"/>
      <c r="I46" s="942"/>
      <c r="J46" s="567"/>
      <c r="K46" s="568"/>
      <c r="L46" s="569"/>
      <c r="M46" s="565"/>
      <c r="N46" s="565"/>
      <c r="O46" s="561"/>
      <c r="P46" s="407">
        <v>0</v>
      </c>
      <c r="Q46" s="407" t="s">
        <v>31</v>
      </c>
      <c r="S46" s="947"/>
    </row>
    <row r="47" spans="1:19" ht="18" customHeight="1">
      <c r="A47" s="1096" t="s">
        <v>2718</v>
      </c>
      <c r="B47" s="1097"/>
      <c r="C47" s="1098"/>
      <c r="D47" s="932" t="s">
        <v>2700</v>
      </c>
      <c r="E47" s="933"/>
      <c r="F47" s="839"/>
      <c r="G47" s="815"/>
      <c r="H47" s="815"/>
      <c r="I47" s="815"/>
      <c r="J47" s="815"/>
      <c r="K47" s="815"/>
      <c r="L47" s="815"/>
      <c r="M47" s="815"/>
      <c r="N47" s="815"/>
      <c r="O47" s="934"/>
      <c r="P47" s="935"/>
      <c r="Q47" s="936"/>
    </row>
    <row r="48" spans="1:19" ht="18" customHeight="1">
      <c r="A48" s="772" t="s">
        <v>2048</v>
      </c>
      <c r="B48" s="563">
        <v>30</v>
      </c>
      <c r="C48" s="663" t="s">
        <v>640</v>
      </c>
      <c r="D48" s="771" t="s">
        <v>411</v>
      </c>
      <c r="E48" s="564"/>
      <c r="F48" s="566"/>
      <c r="G48" s="1100" t="s">
        <v>2573</v>
      </c>
      <c r="H48" s="1100"/>
      <c r="I48" s="1100"/>
      <c r="J48" s="1100"/>
      <c r="K48" s="1100"/>
      <c r="L48" s="1100"/>
      <c r="M48" s="1100"/>
      <c r="N48" s="565"/>
      <c r="O48" s="561"/>
      <c r="P48" s="773">
        <f>1.1*(0.75*2+0.55*2)*0.5*B48</f>
        <v>42.900000000000006</v>
      </c>
      <c r="Q48" s="562" t="s">
        <v>31</v>
      </c>
    </row>
    <row r="49" spans="1:17" ht="18" customHeight="1">
      <c r="A49" s="772"/>
      <c r="B49" s="563"/>
      <c r="C49" s="663"/>
      <c r="D49" s="771" t="s">
        <v>2531</v>
      </c>
      <c r="E49" s="564"/>
      <c r="F49" s="566"/>
      <c r="G49" s="1100" t="s">
        <v>2574</v>
      </c>
      <c r="H49" s="1100"/>
      <c r="I49" s="1100"/>
      <c r="J49" s="1100"/>
      <c r="K49" s="1100"/>
      <c r="L49" s="1100"/>
      <c r="M49" s="1100"/>
      <c r="N49" s="565"/>
      <c r="O49" s="561"/>
      <c r="P49" s="773">
        <f>ROUND((P48-(0.7*0.5*B48)),2)</f>
        <v>32.4</v>
      </c>
      <c r="Q49" s="562" t="s">
        <v>31</v>
      </c>
    </row>
    <row r="50" spans="1:17" ht="18" customHeight="1">
      <c r="A50" s="772"/>
      <c r="B50" s="563"/>
      <c r="C50" s="663"/>
      <c r="D50" s="771" t="s">
        <v>721</v>
      </c>
      <c r="E50" s="564"/>
      <c r="F50" s="566"/>
      <c r="G50" s="1100"/>
      <c r="H50" s="1100"/>
      <c r="I50" s="1100"/>
      <c r="J50" s="1100"/>
      <c r="K50" s="1100"/>
      <c r="L50" s="1100"/>
      <c r="M50" s="1100"/>
      <c r="N50" s="565"/>
      <c r="O50" s="561"/>
      <c r="P50" s="773">
        <f>P48-P49</f>
        <v>10.500000000000007</v>
      </c>
      <c r="Q50" s="562" t="s">
        <v>250</v>
      </c>
    </row>
    <row r="51" spans="1:17" ht="18" customHeight="1">
      <c r="A51" s="772"/>
      <c r="B51" s="563"/>
      <c r="C51" s="663"/>
      <c r="D51" s="771" t="s">
        <v>2575</v>
      </c>
      <c r="E51" s="564" t="s">
        <v>2719</v>
      </c>
      <c r="F51" s="566"/>
      <c r="G51" s="1100" t="s">
        <v>2572</v>
      </c>
      <c r="H51" s="1100"/>
      <c r="I51" s="1100"/>
      <c r="J51" s="1100"/>
      <c r="K51" s="1100"/>
      <c r="L51" s="1100"/>
      <c r="M51" s="1100"/>
      <c r="N51" s="565"/>
      <c r="O51" s="561"/>
      <c r="P51" s="773">
        <f>6*6</f>
        <v>36</v>
      </c>
      <c r="Q51" s="562" t="s">
        <v>640</v>
      </c>
    </row>
    <row r="52" spans="1:17" ht="18" customHeight="1">
      <c r="A52" s="772"/>
      <c r="B52" s="937"/>
      <c r="C52" s="937"/>
      <c r="D52" s="771"/>
      <c r="E52" s="945"/>
      <c r="F52" s="941"/>
      <c r="G52" s="980"/>
      <c r="H52" s="980"/>
      <c r="I52" s="980"/>
      <c r="J52" s="567"/>
      <c r="K52" s="568"/>
      <c r="L52" s="569"/>
      <c r="M52" s="565"/>
      <c r="N52" s="565"/>
      <c r="O52" s="561"/>
      <c r="P52" s="773"/>
      <c r="Q52" s="562"/>
    </row>
    <row r="53" spans="1:17" ht="18" customHeight="1">
      <c r="A53" s="1096" t="s">
        <v>2720</v>
      </c>
      <c r="B53" s="1097"/>
      <c r="C53" s="1098"/>
      <c r="D53" s="932" t="s">
        <v>2700</v>
      </c>
      <c r="E53" s="933"/>
      <c r="F53" s="839"/>
      <c r="G53" s="815"/>
      <c r="H53" s="815"/>
      <c r="I53" s="815"/>
      <c r="J53" s="815"/>
      <c r="K53" s="815"/>
      <c r="L53" s="815"/>
      <c r="M53" s="815"/>
      <c r="N53" s="815"/>
      <c r="O53" s="934"/>
      <c r="P53" s="935"/>
      <c r="Q53" s="936"/>
    </row>
    <row r="54" spans="1:17" ht="18" customHeight="1">
      <c r="A54" s="772" t="s">
        <v>2048</v>
      </c>
      <c r="B54" s="563">
        <v>30</v>
      </c>
      <c r="C54" s="663" t="s">
        <v>640</v>
      </c>
      <c r="D54" s="771" t="s">
        <v>411</v>
      </c>
      <c r="E54" s="564"/>
      <c r="F54" s="566"/>
      <c r="G54" s="1100" t="s">
        <v>2573</v>
      </c>
      <c r="H54" s="1100"/>
      <c r="I54" s="1100"/>
      <c r="J54" s="1100"/>
      <c r="K54" s="1100"/>
      <c r="L54" s="1100"/>
      <c r="M54" s="1100"/>
      <c r="N54" s="565"/>
      <c r="O54" s="561"/>
      <c r="P54" s="773">
        <f>1.1*(0.75*2+0.55*2)*0.5*B54</f>
        <v>42.900000000000006</v>
      </c>
      <c r="Q54" s="562" t="s">
        <v>31</v>
      </c>
    </row>
    <row r="55" spans="1:17" ht="18" customHeight="1">
      <c r="A55" s="772"/>
      <c r="B55" s="563"/>
      <c r="C55" s="663"/>
      <c r="D55" s="771" t="s">
        <v>2531</v>
      </c>
      <c r="E55" s="564"/>
      <c r="F55" s="566"/>
      <c r="G55" s="1100" t="s">
        <v>2574</v>
      </c>
      <c r="H55" s="1100"/>
      <c r="I55" s="1100"/>
      <c r="J55" s="1100"/>
      <c r="K55" s="1100"/>
      <c r="L55" s="1100"/>
      <c r="M55" s="1100"/>
      <c r="N55" s="565"/>
      <c r="O55" s="561"/>
      <c r="P55" s="773">
        <f>ROUND((P54-(0.7*0.5*B54)),2)</f>
        <v>32.4</v>
      </c>
      <c r="Q55" s="562" t="s">
        <v>31</v>
      </c>
    </row>
    <row r="56" spans="1:17" ht="18" customHeight="1">
      <c r="A56" s="772"/>
      <c r="B56" s="563"/>
      <c r="C56" s="663"/>
      <c r="D56" s="771" t="s">
        <v>721</v>
      </c>
      <c r="E56" s="564"/>
      <c r="F56" s="566"/>
      <c r="G56" s="1100"/>
      <c r="H56" s="1100"/>
      <c r="I56" s="1100"/>
      <c r="J56" s="1100"/>
      <c r="K56" s="1100"/>
      <c r="L56" s="1100"/>
      <c r="M56" s="1100"/>
      <c r="N56" s="565"/>
      <c r="O56" s="561"/>
      <c r="P56" s="773">
        <f>P54-P55</f>
        <v>10.500000000000007</v>
      </c>
      <c r="Q56" s="562" t="s">
        <v>250</v>
      </c>
    </row>
    <row r="57" spans="1:17" ht="18" customHeight="1">
      <c r="A57" s="772"/>
      <c r="B57" s="563"/>
      <c r="C57" s="663"/>
      <c r="D57" s="771" t="s">
        <v>2575</v>
      </c>
      <c r="E57" s="564" t="s">
        <v>2579</v>
      </c>
      <c r="F57" s="566"/>
      <c r="G57" s="1100" t="s">
        <v>2572</v>
      </c>
      <c r="H57" s="1100"/>
      <c r="I57" s="1100"/>
      <c r="J57" s="1100"/>
      <c r="K57" s="1100"/>
      <c r="L57" s="1100"/>
      <c r="M57" s="1100"/>
      <c r="N57" s="565"/>
      <c r="O57" s="561"/>
      <c r="P57" s="773">
        <f>6*6</f>
        <v>36</v>
      </c>
      <c r="Q57" s="562" t="s">
        <v>640</v>
      </c>
    </row>
    <row r="58" spans="1:17" ht="18" customHeight="1">
      <c r="A58" s="772"/>
      <c r="B58" s="937"/>
      <c r="C58" s="937"/>
      <c r="D58" s="771"/>
      <c r="E58" s="945"/>
      <c r="F58" s="941"/>
      <c r="G58" s="981"/>
      <c r="H58" s="981"/>
      <c r="I58" s="981"/>
      <c r="J58" s="567"/>
      <c r="K58" s="568"/>
      <c r="L58" s="569"/>
      <c r="M58" s="565"/>
      <c r="N58" s="565"/>
      <c r="O58" s="561"/>
      <c r="P58" s="773"/>
      <c r="Q58" s="562"/>
    </row>
    <row r="59" spans="1:17" ht="18" customHeight="1">
      <c r="A59" s="1096" t="s">
        <v>2721</v>
      </c>
      <c r="B59" s="1097"/>
      <c r="C59" s="1098"/>
      <c r="D59" s="932" t="s">
        <v>2700</v>
      </c>
      <c r="E59" s="933"/>
      <c r="F59" s="839"/>
      <c r="G59" s="815"/>
      <c r="H59" s="815"/>
      <c r="I59" s="815"/>
      <c r="J59" s="815"/>
      <c r="K59" s="815"/>
      <c r="L59" s="815"/>
      <c r="M59" s="815"/>
      <c r="N59" s="815"/>
      <c r="O59" s="934"/>
      <c r="P59" s="935"/>
      <c r="Q59" s="936"/>
    </row>
    <row r="60" spans="1:17" ht="18" customHeight="1">
      <c r="A60" s="772" t="s">
        <v>2048</v>
      </c>
      <c r="B60" s="563">
        <v>30</v>
      </c>
      <c r="C60" s="663" t="s">
        <v>640</v>
      </c>
      <c r="D60" s="771" t="s">
        <v>411</v>
      </c>
      <c r="E60" s="564"/>
      <c r="F60" s="566"/>
      <c r="G60" s="1100" t="s">
        <v>2573</v>
      </c>
      <c r="H60" s="1100"/>
      <c r="I60" s="1100"/>
      <c r="J60" s="1100"/>
      <c r="K60" s="1100"/>
      <c r="L60" s="1100"/>
      <c r="M60" s="1100"/>
      <c r="N60" s="565"/>
      <c r="O60" s="561"/>
      <c r="P60" s="773">
        <f>1.1*(0.75*2+0.55*2)*0.5*B60</f>
        <v>42.900000000000006</v>
      </c>
      <c r="Q60" s="562" t="s">
        <v>31</v>
      </c>
    </row>
    <row r="61" spans="1:17" ht="18" customHeight="1">
      <c r="A61" s="772"/>
      <c r="B61" s="563"/>
      <c r="C61" s="663"/>
      <c r="D61" s="771" t="s">
        <v>2531</v>
      </c>
      <c r="E61" s="564"/>
      <c r="F61" s="566"/>
      <c r="G61" s="1100" t="s">
        <v>2574</v>
      </c>
      <c r="H61" s="1100"/>
      <c r="I61" s="1100"/>
      <c r="J61" s="1100"/>
      <c r="K61" s="1100"/>
      <c r="L61" s="1100"/>
      <c r="M61" s="1100"/>
      <c r="N61" s="565"/>
      <c r="O61" s="561"/>
      <c r="P61" s="773">
        <f>ROUND((P60-(0.7*0.5*B60)),2)</f>
        <v>32.4</v>
      </c>
      <c r="Q61" s="562" t="s">
        <v>31</v>
      </c>
    </row>
    <row r="62" spans="1:17" ht="18" customHeight="1">
      <c r="A62" s="772"/>
      <c r="B62" s="563"/>
      <c r="C62" s="663"/>
      <c r="D62" s="771" t="s">
        <v>721</v>
      </c>
      <c r="E62" s="564"/>
      <c r="F62" s="566"/>
      <c r="G62" s="1100"/>
      <c r="H62" s="1100"/>
      <c r="I62" s="1100"/>
      <c r="J62" s="1100"/>
      <c r="K62" s="1100"/>
      <c r="L62" s="1100"/>
      <c r="M62" s="1100"/>
      <c r="N62" s="565"/>
      <c r="O62" s="561"/>
      <c r="P62" s="773">
        <f>P60-P61</f>
        <v>10.500000000000007</v>
      </c>
      <c r="Q62" s="562" t="s">
        <v>250</v>
      </c>
    </row>
    <row r="63" spans="1:17" ht="18" customHeight="1">
      <c r="A63" s="772"/>
      <c r="B63" s="563"/>
      <c r="C63" s="663"/>
      <c r="D63" s="771" t="s">
        <v>2575</v>
      </c>
      <c r="E63" s="564" t="s">
        <v>2579</v>
      </c>
      <c r="F63" s="566"/>
      <c r="G63" s="1100" t="s">
        <v>2572</v>
      </c>
      <c r="H63" s="1100"/>
      <c r="I63" s="1100"/>
      <c r="J63" s="1100"/>
      <c r="K63" s="1100"/>
      <c r="L63" s="1100"/>
      <c r="M63" s="1100"/>
      <c r="N63" s="565"/>
      <c r="O63" s="561"/>
      <c r="P63" s="773">
        <f>6*6</f>
        <v>36</v>
      </c>
      <c r="Q63" s="562" t="s">
        <v>640</v>
      </c>
    </row>
    <row r="64" spans="1:17" ht="18" customHeight="1">
      <c r="A64" s="772"/>
      <c r="B64" s="937"/>
      <c r="C64" s="937"/>
      <c r="D64" s="771"/>
      <c r="E64" s="945"/>
      <c r="F64" s="941"/>
      <c r="G64" s="981"/>
      <c r="H64" s="981"/>
      <c r="I64" s="981"/>
      <c r="J64" s="567"/>
      <c r="K64" s="568"/>
      <c r="L64" s="569"/>
      <c r="M64" s="565"/>
      <c r="N64" s="565"/>
      <c r="O64" s="561"/>
      <c r="P64" s="773"/>
      <c r="Q64" s="562"/>
    </row>
    <row r="65" spans="1:17" ht="18" customHeight="1">
      <c r="A65" s="1096" t="s">
        <v>2722</v>
      </c>
      <c r="B65" s="1097"/>
      <c r="C65" s="1098"/>
      <c r="D65" s="932" t="s">
        <v>2723</v>
      </c>
      <c r="E65" s="933"/>
      <c r="F65" s="839"/>
      <c r="G65" s="815"/>
      <c r="H65" s="815"/>
      <c r="I65" s="815"/>
      <c r="J65" s="815"/>
      <c r="K65" s="815"/>
      <c r="L65" s="815"/>
      <c r="M65" s="815"/>
      <c r="N65" s="815"/>
      <c r="O65" s="934"/>
      <c r="P65" s="935"/>
      <c r="Q65" s="936"/>
    </row>
    <row r="66" spans="1:17" ht="18" customHeight="1">
      <c r="A66" s="772" t="s">
        <v>2048</v>
      </c>
      <c r="B66" s="563">
        <v>5</v>
      </c>
      <c r="C66" s="663" t="s">
        <v>640</v>
      </c>
      <c r="D66" s="771" t="s">
        <v>411</v>
      </c>
      <c r="E66" s="564"/>
      <c r="F66" s="566"/>
      <c r="G66" s="1100" t="s">
        <v>2753</v>
      </c>
      <c r="H66" s="1100"/>
      <c r="I66" s="1100"/>
      <c r="J66" s="1100"/>
      <c r="K66" s="1100"/>
      <c r="L66" s="1100"/>
      <c r="M66" s="1100"/>
      <c r="N66" s="565"/>
      <c r="O66" s="561"/>
      <c r="P66" s="773">
        <f>1.1*(0.75*2+0.55*2)*0.5*B66</f>
        <v>7.15</v>
      </c>
      <c r="Q66" s="562" t="s">
        <v>31</v>
      </c>
    </row>
    <row r="67" spans="1:17" ht="18" customHeight="1">
      <c r="A67" s="772"/>
      <c r="B67" s="563"/>
      <c r="C67" s="663"/>
      <c r="D67" s="771" t="s">
        <v>2531</v>
      </c>
      <c r="E67" s="564"/>
      <c r="F67" s="566"/>
      <c r="G67" s="1100" t="s">
        <v>2754</v>
      </c>
      <c r="H67" s="1100"/>
      <c r="I67" s="1100"/>
      <c r="J67" s="1100"/>
      <c r="K67" s="1100"/>
      <c r="L67" s="1100"/>
      <c r="M67" s="1100"/>
      <c r="N67" s="565"/>
      <c r="O67" s="561"/>
      <c r="P67" s="773">
        <f>ROUND((P66-(2*0.5*B66)),2)</f>
        <v>2.15</v>
      </c>
      <c r="Q67" s="562" t="s">
        <v>31</v>
      </c>
    </row>
    <row r="68" spans="1:17" ht="18" customHeight="1">
      <c r="A68" s="772"/>
      <c r="B68" s="563"/>
      <c r="C68" s="663"/>
      <c r="D68" s="771" t="s">
        <v>721</v>
      </c>
      <c r="E68" s="564"/>
      <c r="F68" s="566"/>
      <c r="G68" s="1100"/>
      <c r="H68" s="1100"/>
      <c r="I68" s="1100"/>
      <c r="J68" s="1100"/>
      <c r="K68" s="1100"/>
      <c r="L68" s="1100"/>
      <c r="M68" s="1100"/>
      <c r="N68" s="565"/>
      <c r="O68" s="561"/>
      <c r="P68" s="773">
        <f>P66-P67</f>
        <v>5</v>
      </c>
      <c r="Q68" s="562" t="s">
        <v>250</v>
      </c>
    </row>
    <row r="69" spans="1:17" ht="18" customHeight="1">
      <c r="A69" s="837"/>
      <c r="B69" s="553"/>
      <c r="C69" s="838"/>
      <c r="D69" s="407" t="s">
        <v>2690</v>
      </c>
      <c r="E69" s="564"/>
      <c r="F69" s="566"/>
      <c r="G69" s="981" t="s">
        <v>2755</v>
      </c>
      <c r="H69" s="946"/>
      <c r="I69" s="946"/>
      <c r="J69" s="946"/>
      <c r="K69" s="568"/>
      <c r="L69" s="569"/>
      <c r="M69" s="565"/>
      <c r="N69" s="565"/>
      <c r="O69" s="561"/>
      <c r="P69" s="991">
        <f>2*0.2*B66</f>
        <v>2</v>
      </c>
      <c r="Q69" s="407" t="s">
        <v>31</v>
      </c>
    </row>
    <row r="70" spans="1:17" ht="18" customHeight="1">
      <c r="A70" s="837"/>
      <c r="B70" s="553"/>
      <c r="C70" s="838"/>
      <c r="E70" s="564" t="s">
        <v>2689</v>
      </c>
      <c r="F70" s="566"/>
      <c r="G70" s="987" t="s">
        <v>2755</v>
      </c>
      <c r="H70" s="937"/>
      <c r="I70" s="987"/>
      <c r="J70" s="567"/>
      <c r="K70" s="568"/>
      <c r="L70" s="569"/>
      <c r="M70" s="565"/>
      <c r="N70" s="565"/>
      <c r="O70" s="561"/>
      <c r="P70" s="407">
        <f>P69</f>
        <v>2</v>
      </c>
      <c r="Q70" s="407" t="s">
        <v>31</v>
      </c>
    </row>
  </sheetData>
  <mergeCells count="50">
    <mergeCell ref="G67:M67"/>
    <mergeCell ref="G68:M68"/>
    <mergeCell ref="G60:M60"/>
    <mergeCell ref="A65:C65"/>
    <mergeCell ref="G66:M66"/>
    <mergeCell ref="G61:M61"/>
    <mergeCell ref="G62:M62"/>
    <mergeCell ref="G63:M63"/>
    <mergeCell ref="A53:C53"/>
    <mergeCell ref="A47:C47"/>
    <mergeCell ref="G48:M48"/>
    <mergeCell ref="G49:M49"/>
    <mergeCell ref="G50:M50"/>
    <mergeCell ref="G54:M54"/>
    <mergeCell ref="G55:M55"/>
    <mergeCell ref="G56:M56"/>
    <mergeCell ref="G57:M57"/>
    <mergeCell ref="A59:C59"/>
    <mergeCell ref="G19:M19"/>
    <mergeCell ref="G21:M21"/>
    <mergeCell ref="G8:M8"/>
    <mergeCell ref="G20:M20"/>
    <mergeCell ref="G51:M51"/>
    <mergeCell ref="G18:M18"/>
    <mergeCell ref="G44:M44"/>
    <mergeCell ref="G43:M43"/>
    <mergeCell ref="A1:Q1"/>
    <mergeCell ref="A3:C3"/>
    <mergeCell ref="F3:O3"/>
    <mergeCell ref="P3:Q3"/>
    <mergeCell ref="D3:E3"/>
    <mergeCell ref="G6:M6"/>
    <mergeCell ref="G7:M7"/>
    <mergeCell ref="A4:C4"/>
    <mergeCell ref="G5:M5"/>
    <mergeCell ref="A17:C17"/>
    <mergeCell ref="A32:C32"/>
    <mergeCell ref="G25:M25"/>
    <mergeCell ref="A24:C24"/>
    <mergeCell ref="G26:M26"/>
    <mergeCell ref="G27:M27"/>
    <mergeCell ref="G28:M28"/>
    <mergeCell ref="A35:C35"/>
    <mergeCell ref="G39:M39"/>
    <mergeCell ref="A40:C40"/>
    <mergeCell ref="G41:M41"/>
    <mergeCell ref="G42:M42"/>
    <mergeCell ref="G38:M38"/>
    <mergeCell ref="G37:M37"/>
    <mergeCell ref="G36:M36"/>
  </mergeCells>
  <phoneticPr fontId="3" type="noConversion"/>
  <printOptions horizontalCentered="1"/>
  <pageMargins left="0.47244094488188981" right="0.39370078740157483" top="0.87" bottom="0.44" header="0.51181102362204722" footer="0.39"/>
  <pageSetup paperSize="9" scale="47" orientation="landscape" r:id="rId1"/>
  <headerFooter alignWithMargins="0"/>
  <rowBreaks count="2" manualBreakCount="2">
    <brk id="46" max="16" man="1"/>
    <brk id="70" max="16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9"/>
  <dimension ref="A1:I142"/>
  <sheetViews>
    <sheetView view="pageBreakPreview" zoomScale="115" zoomScaleNormal="100" zoomScaleSheetLayoutView="115" workbookViewId="0">
      <selection activeCell="F5" sqref="F5"/>
    </sheetView>
  </sheetViews>
  <sheetFormatPr defaultColWidth="8.88671875" defaultRowHeight="20.100000000000001" customHeight="1"/>
  <cols>
    <col min="1" max="1" width="5.6640625" style="10" customWidth="1"/>
    <col min="2" max="2" width="38.21875" style="80" customWidth="1"/>
    <col min="3" max="4" width="5.77734375" style="28" hidden="1" customWidth="1"/>
    <col min="5" max="5" width="15.77734375" style="10" customWidth="1"/>
    <col min="6" max="8" width="13.88671875" style="10" customWidth="1"/>
    <col min="9" max="16384" width="8.88671875" style="10"/>
  </cols>
  <sheetData>
    <row r="1" spans="1:9" ht="24" customHeight="1">
      <c r="A1" s="459" t="s">
        <v>1660</v>
      </c>
      <c r="B1" s="296"/>
      <c r="C1" s="94"/>
      <c r="D1" s="94"/>
      <c r="E1" s="94"/>
      <c r="F1" s="94"/>
      <c r="G1" s="94"/>
      <c r="H1" s="94"/>
    </row>
    <row r="2" spans="1:9" ht="13.5" customHeight="1">
      <c r="A2" s="457"/>
      <c r="B2" s="26"/>
      <c r="C2" s="25"/>
      <c r="D2" s="25"/>
      <c r="E2" s="25"/>
      <c r="F2" s="25"/>
      <c r="G2" s="25"/>
      <c r="H2" s="25"/>
    </row>
    <row r="3" spans="1:9" ht="24.75" customHeight="1">
      <c r="A3" s="600" t="s">
        <v>524</v>
      </c>
      <c r="B3" s="604" t="s">
        <v>697</v>
      </c>
      <c r="C3" s="600" t="s">
        <v>680</v>
      </c>
      <c r="D3" s="600" t="s">
        <v>1285</v>
      </c>
      <c r="E3" s="600" t="s">
        <v>1051</v>
      </c>
      <c r="F3" s="600" t="s">
        <v>513</v>
      </c>
      <c r="G3" s="600" t="s">
        <v>514</v>
      </c>
      <c r="H3" s="600" t="s">
        <v>1331</v>
      </c>
    </row>
    <row r="4" spans="1:9" ht="18.75" customHeight="1">
      <c r="A4" s="1">
        <v>1</v>
      </c>
      <c r="B4" s="231" t="s">
        <v>2053</v>
      </c>
      <c r="C4" s="1"/>
      <c r="D4" s="1"/>
      <c r="E4" s="308">
        <f t="shared" ref="E4:E16" si="0">SUM(F4:H4)</f>
        <v>34413</v>
      </c>
      <c r="F4" s="535">
        <f>단가내역!H6</f>
        <v>34413</v>
      </c>
      <c r="G4" s="535">
        <f>단가내역!J6</f>
        <v>0</v>
      </c>
      <c r="H4" s="535">
        <f>단가내역!L6</f>
        <v>0</v>
      </c>
    </row>
    <row r="5" spans="1:9" ht="18.75" customHeight="1">
      <c r="A5" s="1">
        <v>2</v>
      </c>
      <c r="B5" s="231" t="str">
        <f>단가내역!F7</f>
        <v xml:space="preserve">터파기(백호:모래,사질토) </v>
      </c>
      <c r="C5" s="1">
        <v>1</v>
      </c>
      <c r="D5" s="1" t="s">
        <v>1014</v>
      </c>
      <c r="E5" s="308">
        <f t="shared" si="0"/>
        <v>1954</v>
      </c>
      <c r="F5" s="308">
        <f>단가내역!H9</f>
        <v>1415</v>
      </c>
      <c r="G5" s="308">
        <f>단가내역!J9</f>
        <v>229</v>
      </c>
      <c r="H5" s="308">
        <f>단가내역!L9</f>
        <v>310</v>
      </c>
    </row>
    <row r="6" spans="1:9" ht="18.75" customHeight="1">
      <c r="A6" s="1">
        <v>3</v>
      </c>
      <c r="B6" s="231" t="str">
        <f>단가내역!F10</f>
        <v xml:space="preserve">되메움(토사:인력+콤팩터) </v>
      </c>
      <c r="C6" s="1">
        <v>1</v>
      </c>
      <c r="D6" s="1" t="s">
        <v>1014</v>
      </c>
      <c r="E6" s="308">
        <f t="shared" si="0"/>
        <v>21446</v>
      </c>
      <c r="F6" s="308">
        <f>단가내역!H13</f>
        <v>21162</v>
      </c>
      <c r="G6" s="308">
        <f>단가내역!J13</f>
        <v>226</v>
      </c>
      <c r="H6" s="308">
        <f>단가내역!L13</f>
        <v>58</v>
      </c>
    </row>
    <row r="7" spans="1:9" ht="18.75" customHeight="1">
      <c r="A7" s="1">
        <v>4</v>
      </c>
      <c r="B7" s="231" t="str">
        <f>단가내역!F14</f>
        <v>되메움(토사:백호+양족견인)</v>
      </c>
      <c r="C7" s="1">
        <v>1</v>
      </c>
      <c r="D7" s="1" t="s">
        <v>1014</v>
      </c>
      <c r="E7" s="308">
        <f t="shared" si="0"/>
        <v>1656</v>
      </c>
      <c r="F7" s="308">
        <f>단가내역!H17</f>
        <v>924</v>
      </c>
      <c r="G7" s="308">
        <f>단가내역!J17</f>
        <v>365</v>
      </c>
      <c r="H7" s="308">
        <f>단가내역!L17</f>
        <v>367</v>
      </c>
    </row>
    <row r="8" spans="1:9" ht="18.75" customHeight="1">
      <c r="A8" s="1">
        <v>5</v>
      </c>
      <c r="B8" s="231" t="str">
        <f>단가내역!F18</f>
        <v>뒷채움(토사:백호)</v>
      </c>
      <c r="C8" s="1">
        <v>1</v>
      </c>
      <c r="D8" s="1" t="s">
        <v>1014</v>
      </c>
      <c r="E8" s="308">
        <f t="shared" si="0"/>
        <v>1262</v>
      </c>
      <c r="F8" s="308">
        <f>단가내역!H20</f>
        <v>720</v>
      </c>
      <c r="G8" s="308">
        <f>단가내역!J20</f>
        <v>273</v>
      </c>
      <c r="H8" s="308">
        <f>단가내역!L20</f>
        <v>269</v>
      </c>
    </row>
    <row r="9" spans="1:9" ht="18.75" customHeight="1">
      <c r="A9" s="1">
        <v>6</v>
      </c>
      <c r="B9" s="231" t="str">
        <f>단가내역!F21</f>
        <v>잔토처리(토사)</v>
      </c>
      <c r="C9" s="1">
        <v>1</v>
      </c>
      <c r="D9" s="1" t="s">
        <v>1014</v>
      </c>
      <c r="E9" s="308">
        <f t="shared" si="0"/>
        <v>1262</v>
      </c>
      <c r="F9" s="308">
        <f>단가내역!H23</f>
        <v>720</v>
      </c>
      <c r="G9" s="308">
        <f>단가내역!J23</f>
        <v>273</v>
      </c>
      <c r="H9" s="308">
        <f>단가내역!L23</f>
        <v>269</v>
      </c>
    </row>
    <row r="10" spans="1:9" ht="18.75" customHeight="1">
      <c r="A10" s="1">
        <v>7</v>
      </c>
      <c r="B10" s="231" t="str">
        <f>단가내역!F24</f>
        <v xml:space="preserve">기초모래 </v>
      </c>
      <c r="C10" s="1">
        <v>1</v>
      </c>
      <c r="D10" s="1" t="s">
        <v>1014</v>
      </c>
      <c r="E10" s="308">
        <f t="shared" si="0"/>
        <v>56813</v>
      </c>
      <c r="F10" s="308">
        <f>단가내역!H28</f>
        <v>34858</v>
      </c>
      <c r="G10" s="308">
        <f>단가내역!J28</f>
        <v>20091</v>
      </c>
      <c r="H10" s="308">
        <f>단가내역!L28</f>
        <v>1864</v>
      </c>
    </row>
    <row r="11" spans="1:9" ht="18.75" customHeight="1">
      <c r="A11" s="1">
        <v>8</v>
      </c>
      <c r="B11" s="231" t="str">
        <f>단가내역!F29</f>
        <v xml:space="preserve">구조물헐기(브레이카 무근 t=30㎝ 미만) </v>
      </c>
      <c r="C11" s="1">
        <v>1</v>
      </c>
      <c r="D11" s="1" t="s">
        <v>1014</v>
      </c>
      <c r="E11" s="308">
        <f t="shared" si="0"/>
        <v>27436</v>
      </c>
      <c r="F11" s="308">
        <f>단가내역!H32</f>
        <v>15849</v>
      </c>
      <c r="G11" s="308">
        <f>단가내역!J32</f>
        <v>4702</v>
      </c>
      <c r="H11" s="308">
        <f>단가내역!L32</f>
        <v>6885</v>
      </c>
    </row>
    <row r="12" spans="1:9" ht="18.75" customHeight="1">
      <c r="A12" s="1">
        <v>9</v>
      </c>
      <c r="B12" s="231" t="str">
        <f>단가내역!F33</f>
        <v xml:space="preserve">구조물헐기(브레이카 철근 t=30㎝ 미만) </v>
      </c>
      <c r="C12" s="1">
        <v>1</v>
      </c>
      <c r="D12" s="1" t="s">
        <v>1014</v>
      </c>
      <c r="E12" s="308">
        <f>SUM(F12:H12)</f>
        <v>76447</v>
      </c>
      <c r="F12" s="308">
        <f>단가내역!H37</f>
        <v>53933</v>
      </c>
      <c r="G12" s="308">
        <f>단가내역!J37</f>
        <v>9533</v>
      </c>
      <c r="H12" s="308">
        <f>단가내역!L37</f>
        <v>12981</v>
      </c>
    </row>
    <row r="13" spans="1:9" ht="18.75" customHeight="1">
      <c r="A13" s="1">
        <v>10</v>
      </c>
      <c r="B13" s="27" t="str">
        <f>단가내역!F38</f>
        <v>포장절단 (콘크리트)</v>
      </c>
      <c r="C13" s="1">
        <v>1</v>
      </c>
      <c r="D13" s="1" t="s">
        <v>640</v>
      </c>
      <c r="E13" s="308">
        <f t="shared" si="0"/>
        <v>4048</v>
      </c>
      <c r="F13" s="308">
        <f>단가내역!H45</f>
        <v>2842</v>
      </c>
      <c r="G13" s="308">
        <f>단가내역!J45</f>
        <v>1119</v>
      </c>
      <c r="H13" s="308">
        <f>단가내역!L45</f>
        <v>87</v>
      </c>
      <c r="I13" s="307"/>
    </row>
    <row r="14" spans="1:9" ht="18.75" customHeight="1">
      <c r="A14" s="1">
        <v>11</v>
      </c>
      <c r="B14" s="27" t="str">
        <f>단가내역!F46</f>
        <v xml:space="preserve">콘크리트포장(레미콘:인력, t=0.20)      </v>
      </c>
      <c r="C14" s="1">
        <v>1</v>
      </c>
      <c r="D14" s="1" t="s">
        <v>250</v>
      </c>
      <c r="E14" s="308">
        <f t="shared" si="0"/>
        <v>37172</v>
      </c>
      <c r="F14" s="308">
        <f>단가내역!H53</f>
        <v>14160</v>
      </c>
      <c r="G14" s="308">
        <f>단가내역!J53</f>
        <v>23012</v>
      </c>
      <c r="H14" s="308">
        <f>단가내역!L53</f>
        <v>0</v>
      </c>
      <c r="I14" s="307"/>
    </row>
    <row r="15" spans="1:9" ht="18.75" customHeight="1">
      <c r="A15" s="1">
        <v>12</v>
      </c>
      <c r="B15" s="231" t="str">
        <f>단가내역!F54</f>
        <v xml:space="preserve">강관동바리(암거구조물 6개월) H= 0.0 -4.2m </v>
      </c>
      <c r="C15" s="1">
        <v>1</v>
      </c>
      <c r="D15" s="1" t="s">
        <v>1005</v>
      </c>
      <c r="E15" s="308">
        <f t="shared" si="0"/>
        <v>28692</v>
      </c>
      <c r="F15" s="308">
        <f>단가내역!H60</f>
        <v>27723</v>
      </c>
      <c r="G15" s="308">
        <f>단가내역!J60</f>
        <v>964</v>
      </c>
      <c r="H15" s="308">
        <f>단가내역!L60</f>
        <v>5</v>
      </c>
    </row>
    <row r="16" spans="1:9" ht="18.75" customHeight="1">
      <c r="A16" s="1">
        <v>13</v>
      </c>
      <c r="B16" s="231" t="str">
        <f>단가내역!F61</f>
        <v xml:space="preserve">강관비계(6개월) </v>
      </c>
      <c r="C16" s="1">
        <v>1</v>
      </c>
      <c r="D16" s="1" t="s">
        <v>1016</v>
      </c>
      <c r="E16" s="308">
        <f t="shared" si="0"/>
        <v>31255</v>
      </c>
      <c r="F16" s="308">
        <f>단가내역!H70</f>
        <v>27966</v>
      </c>
      <c r="G16" s="308">
        <f>단가내역!J70</f>
        <v>1884</v>
      </c>
      <c r="H16" s="308">
        <f>단가내역!L70</f>
        <v>1405</v>
      </c>
    </row>
    <row r="17" spans="1:8" ht="18.75" customHeight="1">
      <c r="A17" s="1">
        <v>14</v>
      </c>
      <c r="B17" s="231" t="str">
        <f>단가내역!F71</f>
        <v xml:space="preserve">철근(복잡구조)  </v>
      </c>
      <c r="C17" s="1">
        <v>1</v>
      </c>
      <c r="D17" s="1" t="s">
        <v>990</v>
      </c>
      <c r="E17" s="308">
        <f t="shared" ref="E17:E22" si="1">SUM(F17:H17)</f>
        <v>1145</v>
      </c>
      <c r="F17" s="308">
        <f>단가내역!H76</f>
        <v>1136</v>
      </c>
      <c r="G17" s="308">
        <f>단가내역!J76</f>
        <v>0</v>
      </c>
      <c r="H17" s="308">
        <f>단가내역!L76</f>
        <v>9</v>
      </c>
    </row>
    <row r="18" spans="1:8" ht="18.75" customHeight="1">
      <c r="A18" s="1">
        <v>15</v>
      </c>
      <c r="B18" s="231" t="str">
        <f>단가내역!F77</f>
        <v xml:space="preserve">철근(보통구조)  </v>
      </c>
      <c r="C18" s="1">
        <v>1</v>
      </c>
      <c r="D18" s="1" t="s">
        <v>990</v>
      </c>
      <c r="E18" s="308">
        <f t="shared" si="1"/>
        <v>1027</v>
      </c>
      <c r="F18" s="308">
        <f>단가내역!H82</f>
        <v>1028</v>
      </c>
      <c r="G18" s="308">
        <f>단가내역!J82</f>
        <v>-1</v>
      </c>
      <c r="H18" s="308">
        <f>단가내역!L82</f>
        <v>0</v>
      </c>
    </row>
    <row r="19" spans="1:8" ht="18.75" customHeight="1">
      <c r="A19" s="1">
        <v>16</v>
      </c>
      <c r="B19" s="231" t="str">
        <f>단가내역!F83</f>
        <v xml:space="preserve">합판거푸집(4회) 10㎥미만 </v>
      </c>
      <c r="C19" s="1">
        <v>1</v>
      </c>
      <c r="D19" s="1" t="s">
        <v>1016</v>
      </c>
      <c r="E19" s="308">
        <f t="shared" si="1"/>
        <v>68469</v>
      </c>
      <c r="F19" s="308">
        <f>단가내역!H87</f>
        <v>57951</v>
      </c>
      <c r="G19" s="308">
        <f>단가내역!J87</f>
        <v>10408</v>
      </c>
      <c r="H19" s="308">
        <f>단가내역!L87</f>
        <v>110</v>
      </c>
    </row>
    <row r="20" spans="1:8" ht="18.75" customHeight="1">
      <c r="A20" s="1">
        <v>17</v>
      </c>
      <c r="B20" s="231" t="str">
        <f>단가내역!F88</f>
        <v xml:space="preserve">합판거푸집(4회) H=0-7M 10㎥이상 </v>
      </c>
      <c r="C20" s="1">
        <v>1</v>
      </c>
      <c r="D20" s="1" t="s">
        <v>1016</v>
      </c>
      <c r="E20" s="308">
        <f t="shared" si="1"/>
        <v>45923</v>
      </c>
      <c r="F20" s="308">
        <f>단가내역!H92</f>
        <v>35405</v>
      </c>
      <c r="G20" s="308">
        <f>단가내역!J92</f>
        <v>10408</v>
      </c>
      <c r="H20" s="308">
        <f>단가내역!L92</f>
        <v>110</v>
      </c>
    </row>
    <row r="21" spans="1:8" ht="18.75" customHeight="1">
      <c r="A21" s="1">
        <v>18</v>
      </c>
      <c r="B21" s="231" t="str">
        <f>단가내역!F93</f>
        <v xml:space="preserve">합판거푸집(6회) 10㎥ 이상 </v>
      </c>
      <c r="C21" s="1">
        <v>1</v>
      </c>
      <c r="D21" s="1" t="s">
        <v>1016</v>
      </c>
      <c r="E21" s="308">
        <f t="shared" si="1"/>
        <v>44420</v>
      </c>
      <c r="F21" s="308">
        <f>단가내역!H97</f>
        <v>35370</v>
      </c>
      <c r="G21" s="308">
        <f>단가내역!J97</f>
        <v>8957</v>
      </c>
      <c r="H21" s="308">
        <f>단가내역!L97</f>
        <v>93</v>
      </c>
    </row>
    <row r="22" spans="1:8" ht="18.75" customHeight="1">
      <c r="A22" s="1">
        <v>19</v>
      </c>
      <c r="B22" s="231" t="str">
        <f>단가내역!F98</f>
        <v xml:space="preserve">합판거푸집(6회) 10㎥ 미만 </v>
      </c>
      <c r="C22" s="1">
        <v>1</v>
      </c>
      <c r="D22" s="1" t="s">
        <v>1016</v>
      </c>
      <c r="E22" s="308">
        <f t="shared" si="1"/>
        <v>66966</v>
      </c>
      <c r="F22" s="308">
        <f>단가내역!H102</f>
        <v>57916</v>
      </c>
      <c r="G22" s="308">
        <f>단가내역!J102</f>
        <v>8957</v>
      </c>
      <c r="H22" s="308">
        <f>단가내역!L97</f>
        <v>93</v>
      </c>
    </row>
    <row r="23" spans="1:8" ht="18.75" customHeight="1">
      <c r="A23" s="1">
        <v>20</v>
      </c>
      <c r="B23" s="231" t="str">
        <f>단가내역!F103</f>
        <v>PE관 D=200</v>
      </c>
      <c r="C23" s="1">
        <v>1</v>
      </c>
      <c r="D23" s="1" t="s">
        <v>635</v>
      </c>
      <c r="E23" s="308">
        <f t="shared" ref="E23:E40" si="2">SUM(F23:H23)</f>
        <v>17276</v>
      </c>
      <c r="F23" s="308">
        <f>단가내역!H107</f>
        <v>11766</v>
      </c>
      <c r="G23" s="308">
        <f>단가내역!J107</f>
        <v>5470</v>
      </c>
      <c r="H23" s="308">
        <f>단가내역!L107</f>
        <v>40</v>
      </c>
    </row>
    <row r="24" spans="1:8" ht="18.75" customHeight="1">
      <c r="A24" s="1">
        <v>21</v>
      </c>
      <c r="B24" s="231" t="str">
        <f>단가내역!F108</f>
        <v>PE관 D=300</v>
      </c>
      <c r="C24" s="1">
        <v>1</v>
      </c>
      <c r="D24" s="1" t="s">
        <v>635</v>
      </c>
      <c r="E24" s="308">
        <f t="shared" si="2"/>
        <v>23621</v>
      </c>
      <c r="F24" s="308">
        <f>단가내역!H112</f>
        <v>15135</v>
      </c>
      <c r="G24" s="308">
        <f>단가내역!J112</f>
        <v>8409</v>
      </c>
      <c r="H24" s="308">
        <f>단가내역!L112</f>
        <v>77</v>
      </c>
    </row>
    <row r="25" spans="1:8" ht="18.75" customHeight="1">
      <c r="A25" s="1">
        <v>22</v>
      </c>
      <c r="B25" s="231" t="str">
        <f>단가내역!F113</f>
        <v>PE관 D=500</v>
      </c>
      <c r="C25" s="1">
        <v>1</v>
      </c>
      <c r="D25" s="1" t="s">
        <v>14</v>
      </c>
      <c r="E25" s="308">
        <f>SUM(F25:H25)</f>
        <v>47362</v>
      </c>
      <c r="F25" s="308">
        <f>단가내역!H117</f>
        <v>23318</v>
      </c>
      <c r="G25" s="308">
        <f>단가내역!J117</f>
        <v>23928</v>
      </c>
      <c r="H25" s="308">
        <f>단가내역!L117</f>
        <v>116</v>
      </c>
    </row>
    <row r="26" spans="1:8" ht="18.75" customHeight="1">
      <c r="A26" s="1">
        <v>23</v>
      </c>
      <c r="B26" s="231" t="str">
        <f>단가내역!F118</f>
        <v xml:space="preserve">PVC 관(D=100㎜) </v>
      </c>
      <c r="C26" s="1">
        <v>1</v>
      </c>
      <c r="D26" s="1" t="s">
        <v>640</v>
      </c>
      <c r="E26" s="308">
        <f t="shared" si="2"/>
        <v>21139</v>
      </c>
      <c r="F26" s="308">
        <f>단가내역!H122</f>
        <v>8864</v>
      </c>
      <c r="G26" s="308">
        <f>단가내역!J122</f>
        <v>12275</v>
      </c>
      <c r="H26" s="308">
        <f>단가내역!L122</f>
        <v>0</v>
      </c>
    </row>
    <row r="27" spans="1:8" ht="18.75" customHeight="1">
      <c r="A27" s="1">
        <v>24</v>
      </c>
      <c r="B27" s="231" t="s">
        <v>2422</v>
      </c>
      <c r="C27" s="1">
        <v>1</v>
      </c>
      <c r="D27" s="1" t="s">
        <v>1406</v>
      </c>
      <c r="E27" s="308">
        <f t="shared" si="2"/>
        <v>49411.4</v>
      </c>
      <c r="F27" s="308">
        <f>단가내역!H126</f>
        <v>32078.7</v>
      </c>
      <c r="G27" s="308">
        <f>단가내역!J126</f>
        <v>15765.4</v>
      </c>
      <c r="H27" s="308">
        <f>단가내역!L126</f>
        <v>1567.3</v>
      </c>
    </row>
    <row r="28" spans="1:8" ht="18.75" customHeight="1">
      <c r="A28" s="1">
        <v>25</v>
      </c>
      <c r="B28" s="231" t="s">
        <v>71</v>
      </c>
      <c r="C28" s="1">
        <v>1</v>
      </c>
      <c r="D28" s="1" t="s">
        <v>1406</v>
      </c>
      <c r="E28" s="72">
        <f t="shared" si="2"/>
        <v>6183</v>
      </c>
      <c r="F28" s="231">
        <f>단가내역!H130</f>
        <v>3303</v>
      </c>
      <c r="G28" s="231">
        <f>단가내역!J130</f>
        <v>1765</v>
      </c>
      <c r="H28" s="231">
        <f>단가내역!L130</f>
        <v>1115</v>
      </c>
    </row>
    <row r="29" spans="1:8" ht="18.75" customHeight="1">
      <c r="A29" s="1">
        <v>26</v>
      </c>
      <c r="B29" s="231" t="s">
        <v>926</v>
      </c>
      <c r="C29" s="1">
        <v>1</v>
      </c>
      <c r="D29" s="1" t="s">
        <v>640</v>
      </c>
      <c r="E29" s="72">
        <f t="shared" si="2"/>
        <v>65249</v>
      </c>
      <c r="F29" s="410">
        <f>단가내역!H138</f>
        <v>42757</v>
      </c>
      <c r="G29" s="410">
        <f>단가내역!J138</f>
        <v>21146</v>
      </c>
      <c r="H29" s="410">
        <f>단가내역!L138</f>
        <v>1346</v>
      </c>
    </row>
    <row r="30" spans="1:8" ht="18.75" customHeight="1">
      <c r="A30" s="1">
        <v>27</v>
      </c>
      <c r="B30" s="231" t="s">
        <v>937</v>
      </c>
      <c r="C30" s="1">
        <v>1</v>
      </c>
      <c r="D30" s="1" t="s">
        <v>1016</v>
      </c>
      <c r="E30" s="72">
        <f t="shared" si="2"/>
        <v>40487</v>
      </c>
      <c r="F30" s="410">
        <f>단가내역!H143</f>
        <v>5433</v>
      </c>
      <c r="G30" s="410">
        <f>단가내역!J143</f>
        <v>34897</v>
      </c>
      <c r="H30" s="410">
        <f>단가내역!L143</f>
        <v>157</v>
      </c>
    </row>
    <row r="31" spans="1:8" ht="18.75" customHeight="1">
      <c r="A31" s="1">
        <v>28</v>
      </c>
      <c r="B31" s="231" t="s">
        <v>1725</v>
      </c>
      <c r="C31" s="1">
        <v>1</v>
      </c>
      <c r="D31" s="1" t="s">
        <v>1016</v>
      </c>
      <c r="E31" s="72">
        <f t="shared" si="2"/>
        <v>36221</v>
      </c>
      <c r="F31" s="410">
        <f>단가내역!H148</f>
        <v>32455</v>
      </c>
      <c r="G31" s="410">
        <f>단가내역!J148</f>
        <v>2712</v>
      </c>
      <c r="H31" s="410">
        <f>단가내역!L148</f>
        <v>1054</v>
      </c>
    </row>
    <row r="32" spans="1:8" ht="18.75" customHeight="1">
      <c r="A32" s="1">
        <v>29</v>
      </c>
      <c r="B32" s="231" t="str">
        <f>단가내역!F149</f>
        <v xml:space="preserve">레미콘 : 무근(인력)  </v>
      </c>
      <c r="C32" s="1">
        <v>1</v>
      </c>
      <c r="D32" s="1" t="s">
        <v>1406</v>
      </c>
      <c r="E32" s="72">
        <f t="shared" si="2"/>
        <v>58020</v>
      </c>
      <c r="F32" s="410">
        <f>단가내역!H152</f>
        <v>57773</v>
      </c>
      <c r="G32" s="410">
        <f>단가내역!J152</f>
        <v>233</v>
      </c>
      <c r="H32" s="410">
        <f>단가내역!L152</f>
        <v>14</v>
      </c>
    </row>
    <row r="33" spans="1:8" ht="18.75" customHeight="1">
      <c r="A33" s="1">
        <v>30</v>
      </c>
      <c r="B33" s="231" t="str">
        <f>단가내역!F153</f>
        <v xml:space="preserve">레미콘 : 소형(인력)  </v>
      </c>
      <c r="C33" s="1">
        <v>1</v>
      </c>
      <c r="D33" s="1" t="s">
        <v>31</v>
      </c>
      <c r="E33" s="72">
        <f>SUM(F33:H33)</f>
        <v>116041</v>
      </c>
      <c r="F33" s="410">
        <f>단가내역!H156</f>
        <v>115546</v>
      </c>
      <c r="G33" s="410">
        <f>단가내역!J156</f>
        <v>466</v>
      </c>
      <c r="H33" s="410">
        <f>단가내역!L156</f>
        <v>29</v>
      </c>
    </row>
    <row r="34" spans="1:8" ht="18.75" customHeight="1">
      <c r="A34" s="1">
        <v>31</v>
      </c>
      <c r="B34" s="231" t="str">
        <f>단가내역!F157</f>
        <v>레미콘 : 철근(240-25)  10㎥이상</v>
      </c>
      <c r="C34" s="1">
        <v>1</v>
      </c>
      <c r="D34" s="1" t="s">
        <v>1406</v>
      </c>
      <c r="E34" s="72">
        <f t="shared" si="2"/>
        <v>32335</v>
      </c>
      <c r="F34" s="410">
        <f>단가내역!H160</f>
        <v>27793</v>
      </c>
      <c r="G34" s="410">
        <f>단가내역!J160</f>
        <v>2395</v>
      </c>
      <c r="H34" s="410">
        <f>단가내역!L160</f>
        <v>2147</v>
      </c>
    </row>
    <row r="35" spans="1:8" ht="18.75" customHeight="1">
      <c r="A35" s="1">
        <v>32</v>
      </c>
      <c r="B35" s="231" t="str">
        <f>단가내역!F161</f>
        <v>레미콘 : 철근(240-25)  10㎥이하</v>
      </c>
      <c r="C35" s="1">
        <v>1</v>
      </c>
      <c r="D35" s="1" t="s">
        <v>1406</v>
      </c>
      <c r="E35" s="72">
        <f t="shared" si="2"/>
        <v>164509</v>
      </c>
      <c r="F35" s="410">
        <f>단가내역!H165</f>
        <v>45106</v>
      </c>
      <c r="G35" s="410">
        <f>단가내역!J165</f>
        <v>112777</v>
      </c>
      <c r="H35" s="410">
        <f>단가내역!L165</f>
        <v>6626</v>
      </c>
    </row>
    <row r="36" spans="1:8" ht="18.75" customHeight="1">
      <c r="A36" s="1">
        <v>33</v>
      </c>
      <c r="B36" s="231" t="str">
        <f>단가내역!F166</f>
        <v>레미콘 : 철근(210-25)  10㎥이상</v>
      </c>
      <c r="C36" s="1">
        <v>1</v>
      </c>
      <c r="D36" s="1" t="s">
        <v>1406</v>
      </c>
      <c r="E36" s="72">
        <f>SUM(F36:H36)</f>
        <v>32335</v>
      </c>
      <c r="F36" s="410">
        <f>단가내역!H169</f>
        <v>27793</v>
      </c>
      <c r="G36" s="410">
        <f>단가내역!J169</f>
        <v>2395</v>
      </c>
      <c r="H36" s="410">
        <f>단가내역!L169</f>
        <v>2147</v>
      </c>
    </row>
    <row r="37" spans="1:8" ht="18.75" customHeight="1">
      <c r="A37" s="1">
        <v>34</v>
      </c>
      <c r="B37" s="231" t="str">
        <f>단가내역!F171</f>
        <v>레미콘 : 철근,펌프카(240-25)  10㎥이상</v>
      </c>
      <c r="C37" s="1">
        <v>1</v>
      </c>
      <c r="D37" s="1" t="s">
        <v>1406</v>
      </c>
      <c r="E37" s="72">
        <f>SUM(F37:H37)</f>
        <v>27469</v>
      </c>
      <c r="F37" s="410">
        <f>단가내역!H174</f>
        <v>21703</v>
      </c>
      <c r="G37" s="410">
        <f>단가내역!J174</f>
        <v>1850</v>
      </c>
      <c r="H37" s="410">
        <f>단가내역!L174</f>
        <v>3916</v>
      </c>
    </row>
    <row r="38" spans="1:8" ht="18.75" customHeight="1">
      <c r="A38" s="1">
        <v>35</v>
      </c>
      <c r="B38" s="231" t="s">
        <v>1842</v>
      </c>
      <c r="C38" s="1">
        <v>1</v>
      </c>
      <c r="D38" s="1" t="s">
        <v>635</v>
      </c>
      <c r="E38" s="72">
        <f t="shared" si="2"/>
        <v>60604</v>
      </c>
      <c r="F38" s="410">
        <f>단가내역!H179</f>
        <v>52278</v>
      </c>
      <c r="G38" s="410">
        <f>단가내역!J179</f>
        <v>3439</v>
      </c>
      <c r="H38" s="410">
        <f>단가내역!L179</f>
        <v>4887</v>
      </c>
    </row>
    <row r="39" spans="1:8" ht="18.75" customHeight="1">
      <c r="A39" s="1">
        <v>36</v>
      </c>
      <c r="B39" s="231" t="s">
        <v>1843</v>
      </c>
      <c r="C39" s="1">
        <v>1</v>
      </c>
      <c r="D39" s="1" t="s">
        <v>635</v>
      </c>
      <c r="E39" s="72">
        <f t="shared" si="2"/>
        <v>30301</v>
      </c>
      <c r="F39" s="410">
        <f>단가내역!H182</f>
        <v>26139</v>
      </c>
      <c r="G39" s="410">
        <f>단가내역!J182</f>
        <v>1719</v>
      </c>
      <c r="H39" s="410">
        <f>단가내역!L182</f>
        <v>2443</v>
      </c>
    </row>
    <row r="40" spans="1:8" ht="18.75" customHeight="1">
      <c r="A40" s="1">
        <v>37</v>
      </c>
      <c r="B40" s="231" t="s">
        <v>742</v>
      </c>
      <c r="C40" s="1">
        <v>1</v>
      </c>
      <c r="D40" s="1" t="s">
        <v>635</v>
      </c>
      <c r="E40" s="72">
        <f t="shared" si="2"/>
        <v>21626</v>
      </c>
      <c r="F40" s="410">
        <f>단가내역!H186</f>
        <v>17593</v>
      </c>
      <c r="G40" s="410">
        <f>단가내역!J186</f>
        <v>1499</v>
      </c>
      <c r="H40" s="410">
        <f>단가내역!L186</f>
        <v>2534</v>
      </c>
    </row>
    <row r="41" spans="1:8" ht="18.75" customHeight="1">
      <c r="A41" s="1">
        <v>38</v>
      </c>
      <c r="B41" s="231" t="s">
        <v>1678</v>
      </c>
      <c r="C41" s="1">
        <v>1</v>
      </c>
      <c r="D41" s="1" t="s">
        <v>14</v>
      </c>
      <c r="E41" s="72">
        <f t="shared" ref="E41:E68" si="3">SUM(F41:H41)</f>
        <v>10812</v>
      </c>
      <c r="F41" s="410">
        <f>단가내역!H189</f>
        <v>8796</v>
      </c>
      <c r="G41" s="410">
        <f>단가내역!J189</f>
        <v>749</v>
      </c>
      <c r="H41" s="410">
        <f>단가내역!L189</f>
        <v>1267</v>
      </c>
    </row>
    <row r="42" spans="1:8" ht="18.75" customHeight="1">
      <c r="A42" s="1">
        <v>39</v>
      </c>
      <c r="B42" s="231" t="s">
        <v>1555</v>
      </c>
      <c r="C42" s="1">
        <v>1</v>
      </c>
      <c r="D42" s="1" t="s">
        <v>635</v>
      </c>
      <c r="E42" s="72">
        <f t="shared" si="3"/>
        <v>33846</v>
      </c>
      <c r="F42" s="410">
        <f>단가내역!H194</f>
        <v>28559</v>
      </c>
      <c r="G42" s="410">
        <f>단가내역!J194</f>
        <v>2167</v>
      </c>
      <c r="H42" s="410">
        <f>단가내역!L194</f>
        <v>3120</v>
      </c>
    </row>
    <row r="43" spans="1:8" ht="18.75" customHeight="1">
      <c r="A43" s="1">
        <v>40</v>
      </c>
      <c r="B43" s="231" t="s">
        <v>710</v>
      </c>
      <c r="C43" s="1">
        <v>1</v>
      </c>
      <c r="D43" s="1" t="s">
        <v>635</v>
      </c>
      <c r="E43" s="72">
        <f t="shared" si="3"/>
        <v>16922</v>
      </c>
      <c r="F43" s="410">
        <f>단가내역!H197</f>
        <v>14279</v>
      </c>
      <c r="G43" s="410">
        <f>단가내역!J197</f>
        <v>1083</v>
      </c>
      <c r="H43" s="410">
        <f>단가내역!L197</f>
        <v>1560</v>
      </c>
    </row>
    <row r="44" spans="1:8" ht="18.75" customHeight="1">
      <c r="A44" s="1">
        <v>41</v>
      </c>
      <c r="B44" s="231" t="s">
        <v>44</v>
      </c>
      <c r="C44" s="1">
        <v>1</v>
      </c>
      <c r="D44" s="1" t="s">
        <v>635</v>
      </c>
      <c r="E44" s="72">
        <f t="shared" si="3"/>
        <v>42903</v>
      </c>
      <c r="F44" s="410">
        <f>단가내역!H202</f>
        <v>36475</v>
      </c>
      <c r="G44" s="410">
        <f>단가내역!J202</f>
        <v>2616</v>
      </c>
      <c r="H44" s="410">
        <f>단가내역!L202</f>
        <v>3812</v>
      </c>
    </row>
    <row r="45" spans="1:8" ht="18.75" customHeight="1">
      <c r="A45" s="1">
        <v>42</v>
      </c>
      <c r="B45" s="231" t="s">
        <v>1688</v>
      </c>
      <c r="C45" s="1">
        <v>1</v>
      </c>
      <c r="D45" s="1" t="s">
        <v>14</v>
      </c>
      <c r="E45" s="72">
        <f t="shared" si="3"/>
        <v>21451</v>
      </c>
      <c r="F45" s="410">
        <f>단가내역!H205</f>
        <v>18237</v>
      </c>
      <c r="G45" s="410">
        <f>단가내역!J205</f>
        <v>1308</v>
      </c>
      <c r="H45" s="410">
        <f>단가내역!L205</f>
        <v>1906</v>
      </c>
    </row>
    <row r="46" spans="1:8" ht="18.75" customHeight="1">
      <c r="A46" s="1">
        <v>43</v>
      </c>
      <c r="B46" s="231" t="s">
        <v>39</v>
      </c>
      <c r="C46" s="1">
        <v>1</v>
      </c>
      <c r="D46" s="1" t="s">
        <v>635</v>
      </c>
      <c r="E46" s="72">
        <f t="shared" si="3"/>
        <v>51605</v>
      </c>
      <c r="F46" s="410">
        <f>단가내역!H210</f>
        <v>44234</v>
      </c>
      <c r="G46" s="410">
        <f>단가내역!J210</f>
        <v>3017</v>
      </c>
      <c r="H46" s="410">
        <f>단가내역!L210</f>
        <v>4354</v>
      </c>
    </row>
    <row r="47" spans="1:8" ht="18.75" customHeight="1">
      <c r="A47" s="1">
        <v>44</v>
      </c>
      <c r="B47" s="231" t="s">
        <v>1689</v>
      </c>
      <c r="C47" s="1">
        <v>1</v>
      </c>
      <c r="D47" s="1" t="s">
        <v>14</v>
      </c>
      <c r="E47" s="72">
        <f t="shared" si="3"/>
        <v>25802</v>
      </c>
      <c r="F47" s="410">
        <f>단가내역!H213</f>
        <v>22117</v>
      </c>
      <c r="G47" s="410">
        <f>단가내역!J213</f>
        <v>1508</v>
      </c>
      <c r="H47" s="410">
        <f>단가내역!L213</f>
        <v>2177</v>
      </c>
    </row>
    <row r="48" spans="1:8" ht="18.75" customHeight="1">
      <c r="A48" s="1">
        <v>45</v>
      </c>
      <c r="B48" s="231" t="s">
        <v>1556</v>
      </c>
      <c r="C48" s="1">
        <v>1</v>
      </c>
      <c r="D48" s="1" t="s">
        <v>635</v>
      </c>
      <c r="E48" s="72">
        <f t="shared" si="3"/>
        <v>81296</v>
      </c>
      <c r="F48" s="410">
        <f>단가내역!H218</f>
        <v>70611</v>
      </c>
      <c r="G48" s="410">
        <f>단가내역!J218</f>
        <v>4496</v>
      </c>
      <c r="H48" s="410">
        <f>단가내역!L218</f>
        <v>6189</v>
      </c>
    </row>
    <row r="49" spans="1:8" ht="18.75" customHeight="1">
      <c r="A49" s="1">
        <v>45</v>
      </c>
      <c r="B49" s="231" t="s">
        <v>2566</v>
      </c>
      <c r="C49" s="1">
        <v>1</v>
      </c>
      <c r="D49" s="1" t="s">
        <v>14</v>
      </c>
      <c r="E49" s="72">
        <f>SUM(F49:H49)</f>
        <v>40647</v>
      </c>
      <c r="F49" s="410">
        <f>단가내역!H221</f>
        <v>35305</v>
      </c>
      <c r="G49" s="410">
        <f>단가내역!J221</f>
        <v>2248</v>
      </c>
      <c r="H49" s="410">
        <f>단가내역!L221</f>
        <v>3094</v>
      </c>
    </row>
    <row r="50" spans="1:8" ht="18.75" customHeight="1">
      <c r="A50" s="1">
        <v>46</v>
      </c>
      <c r="B50" s="231" t="s">
        <v>1791</v>
      </c>
      <c r="C50" s="1">
        <v>1</v>
      </c>
      <c r="D50" s="1" t="s">
        <v>14</v>
      </c>
      <c r="E50" s="72">
        <f t="shared" si="3"/>
        <v>105837</v>
      </c>
      <c r="F50" s="410">
        <f>단가내역!H226</f>
        <v>92287</v>
      </c>
      <c r="G50" s="410">
        <f>단가내역!J226</f>
        <v>5589</v>
      </c>
      <c r="H50" s="410">
        <f>단가내역!L226</f>
        <v>7961</v>
      </c>
    </row>
    <row r="51" spans="1:8" ht="18.75" customHeight="1">
      <c r="A51" s="1">
        <v>47</v>
      </c>
      <c r="B51" s="231" t="s">
        <v>1826</v>
      </c>
      <c r="C51" s="1">
        <v>1</v>
      </c>
      <c r="D51" s="1" t="s">
        <v>14</v>
      </c>
      <c r="E51" s="72">
        <f t="shared" si="3"/>
        <v>127163</v>
      </c>
      <c r="F51" s="410">
        <f>단가내역!H231</f>
        <v>111257</v>
      </c>
      <c r="G51" s="410">
        <f>단가내역!J231</f>
        <v>6684</v>
      </c>
      <c r="H51" s="410">
        <f>단가내역!L231</f>
        <v>9222</v>
      </c>
    </row>
    <row r="52" spans="1:8" ht="18.75" customHeight="1">
      <c r="A52" s="1">
        <v>48</v>
      </c>
      <c r="B52" s="231" t="s">
        <v>2070</v>
      </c>
      <c r="C52" s="1">
        <v>1</v>
      </c>
      <c r="D52" s="1" t="s">
        <v>14</v>
      </c>
      <c r="E52" s="72">
        <f>SUM(F52:H52)</f>
        <v>127163</v>
      </c>
      <c r="F52" s="410">
        <f>단가내역!H236</f>
        <v>111257</v>
      </c>
      <c r="G52" s="410">
        <f>단가내역!J236</f>
        <v>6684</v>
      </c>
      <c r="H52" s="410">
        <f>단가내역!L236</f>
        <v>9222</v>
      </c>
    </row>
    <row r="53" spans="1:8" ht="18.75" customHeight="1">
      <c r="A53" s="1">
        <v>49</v>
      </c>
      <c r="B53" s="231" t="s">
        <v>2071</v>
      </c>
      <c r="C53" s="1">
        <v>1</v>
      </c>
      <c r="D53" s="1" t="s">
        <v>14</v>
      </c>
      <c r="E53" s="72">
        <f>SUM(F53:H53)</f>
        <v>63581</v>
      </c>
      <c r="F53" s="410">
        <f>단가내역!H239</f>
        <v>55628</v>
      </c>
      <c r="G53" s="410">
        <f>단가내역!J239</f>
        <v>3342</v>
      </c>
      <c r="H53" s="410">
        <f>단가내역!L239</f>
        <v>4611</v>
      </c>
    </row>
    <row r="54" spans="1:8" ht="18.75" customHeight="1">
      <c r="A54" s="1">
        <v>50</v>
      </c>
      <c r="B54" s="231" t="s">
        <v>2088</v>
      </c>
      <c r="C54" s="1">
        <v>1</v>
      </c>
      <c r="D54" s="1" t="s">
        <v>14</v>
      </c>
      <c r="E54" s="72">
        <f>SUM(F54:H54)</f>
        <v>119278</v>
      </c>
      <c r="F54" s="410">
        <f>단가내역!H244</f>
        <v>100502</v>
      </c>
      <c r="G54" s="410">
        <f>단가내역!J244</f>
        <v>8084</v>
      </c>
      <c r="H54" s="410">
        <f>단가내역!L244</f>
        <v>10692</v>
      </c>
    </row>
    <row r="55" spans="1:8" ht="18.75" customHeight="1">
      <c r="A55" s="1">
        <v>51</v>
      </c>
      <c r="B55" s="231" t="s">
        <v>1768</v>
      </c>
      <c r="C55" s="1">
        <v>1</v>
      </c>
      <c r="D55" s="1" t="s">
        <v>14</v>
      </c>
      <c r="E55" s="72">
        <f t="shared" si="3"/>
        <v>150476</v>
      </c>
      <c r="F55" s="410">
        <f>단가내역!H249</f>
        <v>126763</v>
      </c>
      <c r="G55" s="410">
        <f>단가내역!J249</f>
        <v>10211</v>
      </c>
      <c r="H55" s="410">
        <f>단가내역!L249</f>
        <v>13502</v>
      </c>
    </row>
    <row r="56" spans="1:8" ht="18.75" customHeight="1">
      <c r="A56" s="1">
        <v>52</v>
      </c>
      <c r="B56" s="231" t="s">
        <v>2079</v>
      </c>
      <c r="C56" s="1">
        <v>1</v>
      </c>
      <c r="D56" s="1" t="s">
        <v>14</v>
      </c>
      <c r="E56" s="72">
        <f>SUM(F56:H56)</f>
        <v>223760</v>
      </c>
      <c r="F56" s="410">
        <f>단가내역!H254</f>
        <v>188445</v>
      </c>
      <c r="G56" s="410">
        <f>단가내역!J254</f>
        <v>15210</v>
      </c>
      <c r="H56" s="410">
        <f>단가내역!L254</f>
        <v>20105</v>
      </c>
    </row>
    <row r="57" spans="1:8" ht="18.75" customHeight="1">
      <c r="A57" s="1">
        <v>53</v>
      </c>
      <c r="B57" s="231" t="s">
        <v>2195</v>
      </c>
      <c r="C57" s="1">
        <v>1</v>
      </c>
      <c r="D57" s="1" t="s">
        <v>1917</v>
      </c>
      <c r="E57" s="72">
        <f t="shared" si="3"/>
        <v>195921</v>
      </c>
      <c r="F57" s="410">
        <f>단가내역!H259</f>
        <v>176806</v>
      </c>
      <c r="G57" s="410">
        <f>단가내역!J259</f>
        <v>10241</v>
      </c>
      <c r="H57" s="410">
        <f>단가내역!L259</f>
        <v>8874</v>
      </c>
    </row>
    <row r="58" spans="1:8" ht="18.75" customHeight="1">
      <c r="A58" s="1">
        <v>54</v>
      </c>
      <c r="B58" s="231" t="str">
        <f>단가내역!F260</f>
        <v>소켓식흄관고무링접합 D300</v>
      </c>
      <c r="C58" s="1">
        <v>1</v>
      </c>
      <c r="D58" s="1" t="s">
        <v>14</v>
      </c>
      <c r="E58" s="72">
        <f t="shared" si="3"/>
        <v>134087</v>
      </c>
      <c r="F58" s="410">
        <f>단가내역!H266</f>
        <v>72254</v>
      </c>
      <c r="G58" s="410">
        <f>단가내역!J266</f>
        <v>56057</v>
      </c>
      <c r="H58" s="410">
        <f>단가내역!L266</f>
        <v>5776</v>
      </c>
    </row>
    <row r="59" spans="1:8" ht="18.75" customHeight="1">
      <c r="A59" s="1">
        <v>55</v>
      </c>
      <c r="B59" s="231" t="str">
        <f>단가내역!F267</f>
        <v>소켓식흄관고무링접합 D400</v>
      </c>
      <c r="C59" s="1">
        <v>1</v>
      </c>
      <c r="D59" s="1" t="s">
        <v>14</v>
      </c>
      <c r="E59" s="72">
        <f t="shared" si="3"/>
        <v>162325</v>
      </c>
      <c r="F59" s="410">
        <f>단가내역!H273</f>
        <v>91067</v>
      </c>
      <c r="G59" s="410">
        <f>단가내역!J273</f>
        <v>63960</v>
      </c>
      <c r="H59" s="410">
        <f>단가내역!L273</f>
        <v>7298</v>
      </c>
    </row>
    <row r="60" spans="1:8" ht="18.75" customHeight="1">
      <c r="A60" s="1">
        <v>56</v>
      </c>
      <c r="B60" s="231" t="str">
        <f>단가내역!F274</f>
        <v>소켓식흄관고무링접합 D500</v>
      </c>
      <c r="C60" s="1">
        <v>1</v>
      </c>
      <c r="D60" s="1" t="s">
        <v>14</v>
      </c>
      <c r="E60" s="72">
        <f t="shared" si="3"/>
        <v>130930</v>
      </c>
      <c r="F60" s="410">
        <f>단가내역!H280</f>
        <v>113981</v>
      </c>
      <c r="G60" s="410">
        <f>단가내역!J280</f>
        <v>8129</v>
      </c>
      <c r="H60" s="410">
        <f>단가내역!L280</f>
        <v>8820</v>
      </c>
    </row>
    <row r="61" spans="1:8" ht="20.100000000000001" customHeight="1">
      <c r="A61" s="1">
        <v>57</v>
      </c>
      <c r="B61" s="231" t="str">
        <f>단가내역!F281</f>
        <v>소켓식흄관고무링접합 D600</v>
      </c>
      <c r="C61" s="1">
        <v>1</v>
      </c>
      <c r="D61" s="1" t="s">
        <v>14</v>
      </c>
      <c r="E61" s="72">
        <f t="shared" si="3"/>
        <v>268390</v>
      </c>
      <c r="F61" s="410">
        <f>단가내역!H287</f>
        <v>147146</v>
      </c>
      <c r="G61" s="410">
        <f>단가내역!J287</f>
        <v>110850</v>
      </c>
      <c r="H61" s="410">
        <f>단가내역!L287</f>
        <v>10394</v>
      </c>
    </row>
    <row r="62" spans="1:8" ht="20.100000000000001" customHeight="1">
      <c r="A62" s="1">
        <v>58</v>
      </c>
      <c r="B62" s="231" t="str">
        <f>단가내역!F288</f>
        <v>소켓식흄관고무링접합 D700</v>
      </c>
      <c r="C62" s="1">
        <v>1</v>
      </c>
      <c r="D62" s="1" t="s">
        <v>14</v>
      </c>
      <c r="E62" s="72">
        <f t="shared" si="3"/>
        <v>337149</v>
      </c>
      <c r="F62" s="410">
        <f>단가내역!H294</f>
        <v>176398</v>
      </c>
      <c r="G62" s="410">
        <f>단가내역!J294</f>
        <v>149053</v>
      </c>
      <c r="H62" s="410">
        <f>단가내역!L294</f>
        <v>11698</v>
      </c>
    </row>
    <row r="63" spans="1:8" ht="20.100000000000001" customHeight="1">
      <c r="A63" s="1">
        <v>59</v>
      </c>
      <c r="B63" s="231" t="str">
        <f>단가내역!F295</f>
        <v>소켓식흄관고무링접합 D800</v>
      </c>
      <c r="C63" s="1">
        <v>1</v>
      </c>
      <c r="D63" s="1" t="s">
        <v>14</v>
      </c>
      <c r="E63" s="72">
        <f t="shared" si="3"/>
        <v>272858</v>
      </c>
      <c r="F63" s="410">
        <f>단가내역!H301</f>
        <v>246734</v>
      </c>
      <c r="G63" s="410">
        <f>단가내역!J301</f>
        <v>12770</v>
      </c>
      <c r="H63" s="410">
        <f>단가내역!L301</f>
        <v>13354</v>
      </c>
    </row>
    <row r="64" spans="1:8" ht="20.100000000000001" customHeight="1">
      <c r="A64" s="1">
        <v>60</v>
      </c>
      <c r="B64" s="27" t="s">
        <v>1995</v>
      </c>
      <c r="C64" s="1">
        <v>1</v>
      </c>
      <c r="D64" s="1" t="s">
        <v>14</v>
      </c>
      <c r="E64" s="72">
        <f t="shared" si="3"/>
        <v>223649</v>
      </c>
      <c r="F64" s="410">
        <f>단가내역!H308/2</f>
        <v>205189</v>
      </c>
      <c r="G64" s="410">
        <f>단가내역!J308/2</f>
        <v>8579</v>
      </c>
      <c r="H64" s="410">
        <f>단가내역!L308/2</f>
        <v>9881</v>
      </c>
    </row>
    <row r="65" spans="1:8" ht="20.100000000000001" customHeight="1">
      <c r="A65" s="1">
        <v>61</v>
      </c>
      <c r="B65" s="27" t="s">
        <v>1793</v>
      </c>
      <c r="C65" s="1">
        <v>1</v>
      </c>
      <c r="D65" s="1" t="s">
        <v>14</v>
      </c>
      <c r="E65" s="72">
        <f t="shared" si="3"/>
        <v>833294</v>
      </c>
      <c r="F65" s="410">
        <f>단가내역!H315</f>
        <v>410526</v>
      </c>
      <c r="G65" s="410">
        <f>단가내역!J315</f>
        <v>418716</v>
      </c>
      <c r="H65" s="410">
        <f>단가내역!L315</f>
        <v>4052</v>
      </c>
    </row>
    <row r="66" spans="1:8" ht="20.100000000000001" customHeight="1">
      <c r="A66" s="1">
        <v>62</v>
      </c>
      <c r="B66" s="27" t="s">
        <v>2509</v>
      </c>
      <c r="C66" s="1">
        <v>1</v>
      </c>
      <c r="D66" s="1" t="s">
        <v>14</v>
      </c>
      <c r="E66" s="72">
        <f t="shared" si="3"/>
        <v>603539</v>
      </c>
      <c r="F66" s="410">
        <f>단가내역!H322</f>
        <v>533332</v>
      </c>
      <c r="G66" s="410">
        <f>단가내역!J322</f>
        <v>31684</v>
      </c>
      <c r="H66" s="410">
        <f>단가내역!L322</f>
        <v>38523</v>
      </c>
    </row>
    <row r="67" spans="1:8" ht="20.100000000000001" customHeight="1">
      <c r="A67" s="1">
        <v>63</v>
      </c>
      <c r="B67" s="231" t="str">
        <f>단가내역!F323</f>
        <v>급배수관 부설 D100</v>
      </c>
      <c r="C67" s="1">
        <v>1</v>
      </c>
      <c r="D67" s="1" t="s">
        <v>640</v>
      </c>
      <c r="E67" s="72">
        <f t="shared" si="3"/>
        <v>16506</v>
      </c>
      <c r="F67" s="410">
        <f>단가내역!H327</f>
        <v>6006</v>
      </c>
      <c r="G67" s="410">
        <f>단가내역!J327</f>
        <v>10500</v>
      </c>
      <c r="H67" s="410">
        <f>단가내역!L327</f>
        <v>0</v>
      </c>
    </row>
    <row r="68" spans="1:8" ht="20.100000000000001" customHeight="1">
      <c r="A68" s="1">
        <v>64</v>
      </c>
      <c r="B68" s="231" t="str">
        <f>단가내역!F328</f>
        <v>급배수관 부설 D150</v>
      </c>
      <c r="C68" s="1">
        <v>1</v>
      </c>
      <c r="D68" s="1" t="s">
        <v>1554</v>
      </c>
      <c r="E68" s="72">
        <f t="shared" si="3"/>
        <v>23769</v>
      </c>
      <c r="F68" s="410">
        <f>단가내역!H332</f>
        <v>8189</v>
      </c>
      <c r="G68" s="410">
        <f>단가내역!J332</f>
        <v>15580</v>
      </c>
      <c r="H68" s="410">
        <f>단가내역!L332</f>
        <v>0</v>
      </c>
    </row>
    <row r="69" spans="1:8" ht="20.100000000000001" customHeight="1">
      <c r="A69" s="1">
        <v>65</v>
      </c>
      <c r="B69" s="231" t="str">
        <f>단가내역!F333</f>
        <v>급배수관 부설 D200</v>
      </c>
      <c r="C69" s="1">
        <v>1</v>
      </c>
      <c r="D69" s="1" t="s">
        <v>1554</v>
      </c>
      <c r="E69" s="72">
        <f t="shared" ref="E69:E78" si="4">SUM(F69:H69)</f>
        <v>26985</v>
      </c>
      <c r="F69" s="410">
        <f>단가내역!H337</f>
        <v>10135</v>
      </c>
      <c r="G69" s="410">
        <f>단가내역!J337</f>
        <v>16850</v>
      </c>
      <c r="H69" s="410">
        <f>단가내역!L337</f>
        <v>0</v>
      </c>
    </row>
    <row r="70" spans="1:8" ht="20.100000000000001" customHeight="1">
      <c r="A70" s="1">
        <v>66</v>
      </c>
      <c r="B70" s="231" t="str">
        <f>단가내역!F338</f>
        <v>급배수관 부설 D300</v>
      </c>
      <c r="C70" s="1"/>
      <c r="D70" s="1"/>
      <c r="E70" s="72">
        <f t="shared" si="4"/>
        <v>35373</v>
      </c>
      <c r="F70" s="410">
        <f>단가내역!H342</f>
        <v>13853</v>
      </c>
      <c r="G70" s="410">
        <f>단가내역!J342</f>
        <v>21520</v>
      </c>
      <c r="H70" s="410">
        <f>단가내역!L342</f>
        <v>0</v>
      </c>
    </row>
    <row r="71" spans="1:8" ht="20.100000000000001" customHeight="1">
      <c r="A71" s="1">
        <v>66</v>
      </c>
      <c r="B71" s="231" t="str">
        <f>단가내역!F343</f>
        <v>급배수관 부설 D500</v>
      </c>
      <c r="C71" s="1"/>
      <c r="D71" s="1"/>
      <c r="E71" s="72">
        <f>SUM(F71:H71)</f>
        <v>80383</v>
      </c>
      <c r="F71" s="410">
        <f>단가내역!H347</f>
        <v>13853</v>
      </c>
      <c r="G71" s="410">
        <f>단가내역!J347</f>
        <v>66530</v>
      </c>
      <c r="H71" s="410">
        <f>단가내역!L347</f>
        <v>0</v>
      </c>
    </row>
    <row r="72" spans="1:8" ht="20.100000000000001" customHeight="1">
      <c r="A72" s="1">
        <v>67</v>
      </c>
      <c r="B72" s="231" t="str">
        <f>단가내역!F348</f>
        <v>수로관 천공 및 접합(D100)</v>
      </c>
      <c r="C72" s="1">
        <v>1</v>
      </c>
      <c r="D72" s="1" t="s">
        <v>119</v>
      </c>
      <c r="E72" s="72">
        <f>SUM(F72:H72)</f>
        <v>19471</v>
      </c>
      <c r="F72" s="410">
        <f>단가내역!H353</f>
        <v>18280</v>
      </c>
      <c r="G72" s="410">
        <f>단가내역!J353</f>
        <v>286</v>
      </c>
      <c r="H72" s="410">
        <f>단가내역!L353</f>
        <v>905</v>
      </c>
    </row>
    <row r="73" spans="1:8" ht="20.100000000000001" customHeight="1">
      <c r="A73" s="1">
        <v>68</v>
      </c>
      <c r="B73" s="231" t="str">
        <f>단가내역!F354</f>
        <v>수로관 천공 및 접합(D150)</v>
      </c>
      <c r="C73" s="1">
        <v>1</v>
      </c>
      <c r="D73" s="1" t="s">
        <v>1658</v>
      </c>
      <c r="E73" s="72">
        <f t="shared" si="4"/>
        <v>20080</v>
      </c>
      <c r="F73" s="410">
        <f>단가내역!H359</f>
        <v>18728</v>
      </c>
      <c r="G73" s="410">
        <f>단가내역!J359</f>
        <v>429</v>
      </c>
      <c r="H73" s="410">
        <f>단가내역!L359</f>
        <v>923</v>
      </c>
    </row>
    <row r="74" spans="1:8" ht="20.100000000000001" customHeight="1">
      <c r="A74" s="1">
        <v>69</v>
      </c>
      <c r="B74" s="231" t="str">
        <f>단가내역!F360</f>
        <v>수로관 천공 및 접합(D200)</v>
      </c>
      <c r="C74" s="1">
        <v>1</v>
      </c>
      <c r="D74" s="1" t="s">
        <v>1658</v>
      </c>
      <c r="E74" s="72">
        <f t="shared" si="4"/>
        <v>25253</v>
      </c>
      <c r="F74" s="410">
        <f>단가내역!H365</f>
        <v>23523</v>
      </c>
      <c r="G74" s="410">
        <f>단가내역!J365</f>
        <v>572</v>
      </c>
      <c r="H74" s="410">
        <f>단가내역!L365</f>
        <v>1158</v>
      </c>
    </row>
    <row r="75" spans="1:8" ht="20.100000000000001" customHeight="1">
      <c r="A75" s="1">
        <v>70</v>
      </c>
      <c r="B75" s="231" t="str">
        <f>단가내역!F366</f>
        <v>천공(구멍뚫기)</v>
      </c>
      <c r="C75" s="1">
        <v>1</v>
      </c>
      <c r="D75" s="1" t="s">
        <v>1658</v>
      </c>
      <c r="E75" s="72">
        <f t="shared" si="4"/>
        <v>9242</v>
      </c>
      <c r="F75" s="410">
        <f>단가내역!H368</f>
        <v>9242</v>
      </c>
      <c r="G75" s="410">
        <f>단가내역!J368</f>
        <v>0</v>
      </c>
      <c r="H75" s="410">
        <f>단가내역!L368</f>
        <v>0</v>
      </c>
    </row>
    <row r="76" spans="1:8" ht="20.100000000000001" customHeight="1">
      <c r="A76" s="1">
        <v>71</v>
      </c>
      <c r="B76" s="231" t="str">
        <f>단가내역!F369</f>
        <v>문비설치(1-1호형0.4m*0.4m)</v>
      </c>
      <c r="C76" s="1">
        <v>1</v>
      </c>
      <c r="D76" s="1" t="s">
        <v>357</v>
      </c>
      <c r="E76" s="72">
        <f t="shared" si="4"/>
        <v>172200</v>
      </c>
      <c r="F76" s="410">
        <f>단가내역!H372</f>
        <v>8200</v>
      </c>
      <c r="G76" s="410">
        <f>단가내역!J372</f>
        <v>164000</v>
      </c>
      <c r="H76" s="410">
        <f>단가내역!L372</f>
        <v>0</v>
      </c>
    </row>
    <row r="77" spans="1:8" ht="20.100000000000001" customHeight="1">
      <c r="A77" s="1">
        <v>72</v>
      </c>
      <c r="B77" s="231" t="str">
        <f>단가내역!F373</f>
        <v>문비설치(1-2호형0.55m*0.55m)</v>
      </c>
      <c r="C77" s="1">
        <v>1</v>
      </c>
      <c r="D77" s="1" t="s">
        <v>317</v>
      </c>
      <c r="E77" s="72">
        <f>SUM(F77:H77)</f>
        <v>236250</v>
      </c>
      <c r="F77" s="410">
        <f>단가내역!H376</f>
        <v>11250</v>
      </c>
      <c r="G77" s="410">
        <f>단가내역!J376</f>
        <v>225000</v>
      </c>
      <c r="H77" s="410">
        <f>단가내역!L376</f>
        <v>0</v>
      </c>
    </row>
    <row r="78" spans="1:8" ht="20.100000000000001" customHeight="1">
      <c r="A78" s="1">
        <v>73</v>
      </c>
      <c r="B78" s="231" t="str">
        <f>단가내역!F377</f>
        <v>권양기설치(신형 1-1호형)</v>
      </c>
      <c r="C78" s="1">
        <v>1</v>
      </c>
      <c r="D78" s="1" t="s">
        <v>357</v>
      </c>
      <c r="E78" s="72">
        <f t="shared" si="4"/>
        <v>314475</v>
      </c>
      <c r="F78" s="410">
        <f>단가내역!H380</f>
        <v>14975</v>
      </c>
      <c r="G78" s="410">
        <f>단가내역!J380</f>
        <v>299500</v>
      </c>
      <c r="H78" s="410">
        <f>단가내역!L380</f>
        <v>0</v>
      </c>
    </row>
    <row r="79" spans="1:8" ht="20.100000000000001" customHeight="1">
      <c r="A79" s="1">
        <v>74</v>
      </c>
      <c r="B79" s="231" t="str">
        <f>단가내역!F381</f>
        <v>권양기설치(신형 1-2호형)</v>
      </c>
      <c r="C79" s="1">
        <v>1</v>
      </c>
      <c r="D79" s="1" t="s">
        <v>317</v>
      </c>
      <c r="E79" s="72">
        <f t="shared" ref="E79:E90" si="5">SUM(F79:H79)</f>
        <v>345345</v>
      </c>
      <c r="F79" s="410">
        <f>단가내역!H384</f>
        <v>16445</v>
      </c>
      <c r="G79" s="410">
        <f>단가내역!J384</f>
        <v>328900</v>
      </c>
      <c r="H79" s="410">
        <f>단가내역!L384</f>
        <v>0</v>
      </c>
    </row>
    <row r="80" spans="1:8" ht="20.100000000000001" customHeight="1">
      <c r="A80" s="1">
        <v>75</v>
      </c>
      <c r="B80" s="231" t="str">
        <f>단가내역!F385</f>
        <v>스핀들설치(25D)</v>
      </c>
      <c r="C80" s="1">
        <v>1</v>
      </c>
      <c r="D80" s="1" t="s">
        <v>640</v>
      </c>
      <c r="E80" s="72">
        <f t="shared" si="5"/>
        <v>50085</v>
      </c>
      <c r="F80" s="410">
        <f>단가내역!H388</f>
        <v>2385</v>
      </c>
      <c r="G80" s="410">
        <f>단가내역!J388</f>
        <v>47700</v>
      </c>
      <c r="H80" s="410">
        <f>단가내역!L388</f>
        <v>0</v>
      </c>
    </row>
    <row r="81" spans="1:8" ht="20.100000000000001" customHeight="1">
      <c r="A81" s="1">
        <v>76</v>
      </c>
      <c r="B81" s="231" t="str">
        <f>단가내역!F389</f>
        <v>스핀들설치(32D)</v>
      </c>
      <c r="C81" s="1">
        <v>1</v>
      </c>
      <c r="D81" s="1" t="s">
        <v>640</v>
      </c>
      <c r="E81" s="72">
        <f t="shared" si="5"/>
        <v>73290</v>
      </c>
      <c r="F81" s="410">
        <f>단가내역!H392</f>
        <v>3490</v>
      </c>
      <c r="G81" s="410">
        <f>단가내역!J392</f>
        <v>69800</v>
      </c>
      <c r="H81" s="410">
        <f>단가내역!L392</f>
        <v>0</v>
      </c>
    </row>
    <row r="82" spans="1:8" ht="20.100000000000001" customHeight="1">
      <c r="A82" s="1">
        <v>77</v>
      </c>
      <c r="B82" s="231" t="str">
        <f>단가내역!F393</f>
        <v>스핀들설치(38D)</v>
      </c>
      <c r="C82" s="1">
        <v>1</v>
      </c>
      <c r="D82" s="1" t="s">
        <v>640</v>
      </c>
      <c r="E82" s="72">
        <f t="shared" si="5"/>
        <v>69510</v>
      </c>
      <c r="F82" s="410">
        <f>단가내역!H396</f>
        <v>3310</v>
      </c>
      <c r="G82" s="410">
        <f>단가내역!J396</f>
        <v>66200</v>
      </c>
      <c r="H82" s="410">
        <f>단가내역!L396</f>
        <v>0</v>
      </c>
    </row>
    <row r="83" spans="1:8" ht="20.100000000000001" customHeight="1">
      <c r="A83" s="1">
        <v>78</v>
      </c>
      <c r="B83" s="231" t="str">
        <f>단가내역!F397</f>
        <v>PE관 보수 D200</v>
      </c>
      <c r="C83" s="1">
        <v>1</v>
      </c>
      <c r="D83" s="1" t="s">
        <v>119</v>
      </c>
      <c r="E83" s="72">
        <f t="shared" si="5"/>
        <v>221739</v>
      </c>
      <c r="F83" s="410">
        <f>단가내역!H402</f>
        <v>10639</v>
      </c>
      <c r="G83" s="410">
        <f>단가내역!J402</f>
        <v>211100</v>
      </c>
      <c r="H83" s="410">
        <f>단가내역!L402</f>
        <v>0</v>
      </c>
    </row>
    <row r="84" spans="1:8" ht="20.100000000000001" customHeight="1">
      <c r="A84" s="1">
        <v>79</v>
      </c>
      <c r="B84" s="231" t="str">
        <f>단가내역!F403</f>
        <v>물푸기(5HP, 1개소 1대)</v>
      </c>
      <c r="C84" s="1">
        <v>1</v>
      </c>
      <c r="D84" s="1" t="s">
        <v>1708</v>
      </c>
      <c r="E84" s="72">
        <f t="shared" si="5"/>
        <v>52981</v>
      </c>
      <c r="F84" s="410">
        <f>단가내역!H407</f>
        <v>27347</v>
      </c>
      <c r="G84" s="410">
        <f>단가내역!J407</f>
        <v>24084</v>
      </c>
      <c r="H84" s="410">
        <f>단가내역!L407</f>
        <v>1550</v>
      </c>
    </row>
    <row r="85" spans="1:8" ht="20.100000000000001" customHeight="1">
      <c r="A85" s="1">
        <v>80</v>
      </c>
      <c r="B85" s="231" t="str">
        <f>단가내역!F408</f>
        <v>물푸기(펌프설치 및 해체)</v>
      </c>
      <c r="C85" s="1">
        <v>1</v>
      </c>
      <c r="D85" s="1" t="s">
        <v>406</v>
      </c>
      <c r="E85" s="72">
        <f t="shared" si="5"/>
        <v>524971</v>
      </c>
      <c r="F85" s="410">
        <f>단가내역!H411</f>
        <v>524971</v>
      </c>
      <c r="G85" s="410">
        <f>단가내역!J411</f>
        <v>0</v>
      </c>
      <c r="H85" s="410">
        <f>단가내역!L411</f>
        <v>0</v>
      </c>
    </row>
    <row r="86" spans="1:8" ht="20.100000000000001" customHeight="1">
      <c r="A86" s="1">
        <v>81</v>
      </c>
      <c r="B86" s="231" t="str">
        <f>단가내역!F412</f>
        <v>PE수도관 접합 및 부설 D150</v>
      </c>
      <c r="C86" s="1"/>
      <c r="D86" s="1"/>
      <c r="E86" s="72">
        <f t="shared" si="5"/>
        <v>10405</v>
      </c>
      <c r="F86" s="410">
        <f>단가내역!H417</f>
        <v>9725</v>
      </c>
      <c r="G86" s="410">
        <f>단가내역!J417</f>
        <v>0</v>
      </c>
      <c r="H86" s="410">
        <f>단가내역!L417</f>
        <v>680</v>
      </c>
    </row>
    <row r="87" spans="1:8" ht="20.100000000000001" customHeight="1">
      <c r="A87" s="1">
        <v>82</v>
      </c>
      <c r="B87" s="231" t="str">
        <f>단가내역!F418</f>
        <v>PE수도관 접합 및 부설 D200</v>
      </c>
      <c r="C87" s="1"/>
      <c r="D87" s="1"/>
      <c r="E87" s="72">
        <f t="shared" si="5"/>
        <v>11864</v>
      </c>
      <c r="F87" s="410">
        <f>단가내역!H423</f>
        <v>11088</v>
      </c>
      <c r="G87" s="410">
        <f>단가내역!J423</f>
        <v>0</v>
      </c>
      <c r="H87" s="410">
        <f>단가내역!L423</f>
        <v>776</v>
      </c>
    </row>
    <row r="88" spans="1:8" ht="20.100000000000001" customHeight="1">
      <c r="A88" s="1">
        <v>83</v>
      </c>
      <c r="B88" s="231" t="str">
        <f>단가내역!F424</f>
        <v>PE수도관 접합 및 부설 D250</v>
      </c>
      <c r="C88" s="1"/>
      <c r="D88" s="1"/>
      <c r="E88" s="72">
        <f t="shared" si="5"/>
        <v>13873</v>
      </c>
      <c r="F88" s="410">
        <f>단가내역!H429</f>
        <v>12966</v>
      </c>
      <c r="G88" s="410">
        <f>단가내역!J429</f>
        <v>0</v>
      </c>
      <c r="H88" s="410">
        <f>단가내역!L429</f>
        <v>907</v>
      </c>
    </row>
    <row r="89" spans="1:8" ht="20.100000000000001" customHeight="1">
      <c r="A89" s="1">
        <v>84</v>
      </c>
      <c r="B89" s="231" t="str">
        <f>단가내역!F430</f>
        <v>PE수도관 접합 및 부설 D350</v>
      </c>
      <c r="C89" s="1"/>
      <c r="D89" s="1"/>
      <c r="E89" s="72">
        <f t="shared" si="5"/>
        <v>16777</v>
      </c>
      <c r="F89" s="410">
        <f>단가내역!H435</f>
        <v>16777</v>
      </c>
      <c r="G89" s="410">
        <f>단가내역!I435</f>
        <v>0</v>
      </c>
      <c r="H89" s="410">
        <f>단가내역!J435</f>
        <v>0</v>
      </c>
    </row>
    <row r="90" spans="1:8" ht="20.100000000000001" customHeight="1">
      <c r="A90" s="1">
        <v>85</v>
      </c>
      <c r="B90" s="231" t="str">
        <f>단가내역!F436</f>
        <v>PE수도관 접합 및 부설 D400</v>
      </c>
      <c r="C90" s="1">
        <v>1</v>
      </c>
      <c r="D90" s="1" t="s">
        <v>119</v>
      </c>
      <c r="E90" s="72">
        <f t="shared" si="5"/>
        <v>18970</v>
      </c>
      <c r="F90" s="410">
        <f>단가내역!H441</f>
        <v>17729</v>
      </c>
      <c r="G90" s="410">
        <f>단가내역!J441</f>
        <v>0</v>
      </c>
      <c r="H90" s="410">
        <f>단가내역!L441</f>
        <v>1241</v>
      </c>
    </row>
    <row r="91" spans="1:8" ht="20.100000000000001" customHeight="1">
      <c r="A91" s="1">
        <v>86</v>
      </c>
      <c r="B91" s="231" t="str">
        <f>단가내역!F442</f>
        <v>PE수도관 접합 및 부설 D450</v>
      </c>
      <c r="C91" s="1">
        <v>1</v>
      </c>
      <c r="D91" s="1" t="s">
        <v>119</v>
      </c>
      <c r="E91" s="72">
        <f t="shared" ref="E91:E98" si="6">SUM(F91:H91)</f>
        <v>20428</v>
      </c>
      <c r="F91" s="410">
        <f>단가내역!H447</f>
        <v>19092</v>
      </c>
      <c r="G91" s="410">
        <f>단가내역!J447</f>
        <v>0</v>
      </c>
      <c r="H91" s="410">
        <f>단가내역!L447</f>
        <v>1336</v>
      </c>
    </row>
    <row r="92" spans="1:8" ht="20.100000000000001" customHeight="1">
      <c r="A92" s="1">
        <v>87</v>
      </c>
      <c r="B92" s="231" t="str">
        <f>단가내역!F448</f>
        <v>취수문 설치(STS304) 0.55*0.55</v>
      </c>
      <c r="C92" s="1">
        <v>1</v>
      </c>
      <c r="D92" s="1" t="s">
        <v>119</v>
      </c>
      <c r="E92" s="72">
        <f t="shared" si="6"/>
        <v>477561</v>
      </c>
      <c r="F92" s="410">
        <f>단가내역!H459</f>
        <v>278868</v>
      </c>
      <c r="G92" s="410">
        <f>단가내역!J459</f>
        <v>189927</v>
      </c>
      <c r="H92" s="410">
        <f>단가내역!L459</f>
        <v>8766</v>
      </c>
    </row>
    <row r="93" spans="1:8" ht="20.100000000000001" customHeight="1">
      <c r="A93" s="1">
        <v>88</v>
      </c>
      <c r="B93" s="231" t="str">
        <f>단가내역!F460</f>
        <v>배사문 설치(STS304)  0.55*0.75</v>
      </c>
      <c r="C93" s="1">
        <v>1</v>
      </c>
      <c r="D93" s="1" t="s">
        <v>119</v>
      </c>
      <c r="E93" s="72">
        <f t="shared" si="6"/>
        <v>483332</v>
      </c>
      <c r="F93" s="410">
        <f>단가내역!H471</f>
        <v>292809</v>
      </c>
      <c r="G93" s="410">
        <f>단가내역!J471</f>
        <v>181319</v>
      </c>
      <c r="H93" s="410">
        <f>단가내역!L471</f>
        <v>9204</v>
      </c>
    </row>
    <row r="94" spans="1:8" ht="20.100000000000001" customHeight="1">
      <c r="A94" s="1">
        <v>89</v>
      </c>
      <c r="B94" s="231" t="s">
        <v>1873</v>
      </c>
      <c r="C94" s="1" t="s">
        <v>1692</v>
      </c>
      <c r="D94" s="1"/>
      <c r="E94" s="72">
        <f t="shared" si="6"/>
        <v>162750</v>
      </c>
      <c r="F94" s="410">
        <f>단가내역!H475</f>
        <v>7750</v>
      </c>
      <c r="G94" s="410">
        <f>단가내역!J475</f>
        <v>155000</v>
      </c>
      <c r="H94" s="410">
        <f>단가내역!L475</f>
        <v>0</v>
      </c>
    </row>
    <row r="95" spans="1:8" ht="20.100000000000001" customHeight="1">
      <c r="A95" s="1">
        <v>90</v>
      </c>
      <c r="B95" s="231" t="str">
        <f>단가내역!F476</f>
        <v>뒤채움 혼합석(50mm)</v>
      </c>
      <c r="C95" s="1"/>
      <c r="D95" s="1"/>
      <c r="E95" s="72">
        <f t="shared" si="6"/>
        <v>65090</v>
      </c>
      <c r="F95" s="410">
        <f>단가내역!H481</f>
        <v>48288</v>
      </c>
      <c r="G95" s="410">
        <f>단가내역!J481</f>
        <v>13570</v>
      </c>
      <c r="H95" s="410">
        <f>단가내역!L481</f>
        <v>3232</v>
      </c>
    </row>
    <row r="96" spans="1:8" ht="20.100000000000001" customHeight="1">
      <c r="A96" s="1">
        <v>91</v>
      </c>
      <c r="B96" s="231" t="s">
        <v>1952</v>
      </c>
      <c r="C96" s="1"/>
      <c r="D96" s="1"/>
      <c r="E96" s="72">
        <f t="shared" si="6"/>
        <v>13252</v>
      </c>
      <c r="F96" s="410">
        <f>단가내역!H488</f>
        <v>7052</v>
      </c>
      <c r="G96" s="410">
        <f>단가내역!J488</f>
        <v>6200</v>
      </c>
      <c r="H96" s="410">
        <f>단가내역!L488</f>
        <v>0</v>
      </c>
    </row>
    <row r="97" spans="1:8" ht="20.100000000000001" customHeight="1">
      <c r="A97" s="1">
        <v>92</v>
      </c>
      <c r="B97" s="231" t="str">
        <f>단가내역!F489</f>
        <v>게이트밸브 설치 (D100, STS, 플랜지식)</v>
      </c>
      <c r="C97" s="1"/>
      <c r="D97" s="1"/>
      <c r="E97" s="72">
        <f t="shared" si="6"/>
        <v>349650</v>
      </c>
      <c r="F97" s="410">
        <f>단가내역!H492</f>
        <v>16650</v>
      </c>
      <c r="G97" s="410">
        <f>단가내역!J492</f>
        <v>333000</v>
      </c>
      <c r="H97" s="410">
        <f>단가내역!L492</f>
        <v>0</v>
      </c>
    </row>
    <row r="98" spans="1:8" ht="20.100000000000001" customHeight="1">
      <c r="A98" s="1">
        <v>93</v>
      </c>
      <c r="B98" s="231" t="str">
        <f>단가내역!F493</f>
        <v>게이트밸브 설치 (D150, STS, 플랜지식)</v>
      </c>
      <c r="C98" s="1"/>
      <c r="D98" s="1"/>
      <c r="E98" s="72">
        <f t="shared" si="6"/>
        <v>1085700</v>
      </c>
      <c r="F98" s="410">
        <f>단가내역!H496</f>
        <v>51700</v>
      </c>
      <c r="G98" s="410">
        <f>단가내역!J496</f>
        <v>1034000</v>
      </c>
      <c r="H98" s="410">
        <f>단가내역!L496</f>
        <v>0</v>
      </c>
    </row>
    <row r="99" spans="1:8" ht="20.100000000000001" customHeight="1">
      <c r="A99" s="1">
        <v>94</v>
      </c>
      <c r="B99" s="231" t="str">
        <f>단가내역!F497</f>
        <v>맨홀설치(0.4*0.4*0.6)</v>
      </c>
      <c r="C99" s="1"/>
      <c r="D99" s="1"/>
      <c r="E99" s="72">
        <f t="shared" ref="E99:E106" si="7">SUM(F99:H99)</f>
        <v>94500</v>
      </c>
      <c r="F99" s="410">
        <f>단가내역!H500</f>
        <v>4500</v>
      </c>
      <c r="G99" s="410">
        <f>단가내역!J500</f>
        <v>90000</v>
      </c>
      <c r="H99" s="410">
        <f>단가내역!L500</f>
        <v>0</v>
      </c>
    </row>
    <row r="100" spans="1:8" ht="20.100000000000001" customHeight="1">
      <c r="A100" s="1">
        <v>95</v>
      </c>
      <c r="B100" s="231" t="s">
        <v>2026</v>
      </c>
      <c r="C100" s="1"/>
      <c r="D100" s="1"/>
      <c r="E100" s="72">
        <f t="shared" si="7"/>
        <v>30923</v>
      </c>
      <c r="F100" s="410">
        <f>단가내역!H506</f>
        <v>5794</v>
      </c>
      <c r="G100" s="410">
        <f>단가내역!J506</f>
        <v>-3851</v>
      </c>
      <c r="H100" s="410">
        <f>단가내역!L506</f>
        <v>28980</v>
      </c>
    </row>
    <row r="101" spans="1:8" ht="20.100000000000001" customHeight="1">
      <c r="A101" s="1">
        <v>96</v>
      </c>
      <c r="B101" s="231" t="s">
        <v>2033</v>
      </c>
      <c r="C101" s="1"/>
      <c r="D101" s="1"/>
      <c r="E101" s="72">
        <f t="shared" si="7"/>
        <v>1580</v>
      </c>
      <c r="F101" s="410">
        <f>단가내역!H509</f>
        <v>756</v>
      </c>
      <c r="G101" s="410">
        <f>단가내역!J509</f>
        <v>482</v>
      </c>
      <c r="H101" s="410">
        <f>단가내역!L509</f>
        <v>342</v>
      </c>
    </row>
    <row r="102" spans="1:8" ht="20.100000000000001" customHeight="1">
      <c r="A102" s="1">
        <v>97</v>
      </c>
      <c r="B102" s="231" t="s">
        <v>2030</v>
      </c>
      <c r="C102" s="1"/>
      <c r="D102" s="1"/>
      <c r="E102" s="72">
        <f t="shared" si="7"/>
        <v>38851</v>
      </c>
      <c r="F102" s="410">
        <f>단가내역!H515</f>
        <v>5830</v>
      </c>
      <c r="G102" s="410">
        <f>단가내역!J515</f>
        <v>4023</v>
      </c>
      <c r="H102" s="410">
        <f>단가내역!L515</f>
        <v>28998</v>
      </c>
    </row>
    <row r="103" spans="1:8" ht="20.100000000000001" customHeight="1">
      <c r="A103" s="1">
        <v>98</v>
      </c>
      <c r="B103" s="231" t="s">
        <v>2034</v>
      </c>
      <c r="C103" s="1"/>
      <c r="D103" s="1"/>
      <c r="E103" s="72">
        <f t="shared" si="7"/>
        <v>1649</v>
      </c>
      <c r="F103" s="410">
        <f>단가내역!H518</f>
        <v>789</v>
      </c>
      <c r="G103" s="410">
        <f>단가내역!J518</f>
        <v>503</v>
      </c>
      <c r="H103" s="410">
        <f>단가내역!L518</f>
        <v>357</v>
      </c>
    </row>
    <row r="104" spans="1:8" ht="20.100000000000001" customHeight="1">
      <c r="A104" s="1">
        <v>99</v>
      </c>
      <c r="B104" s="231" t="s">
        <v>2045</v>
      </c>
      <c r="C104" s="1"/>
      <c r="D104" s="1"/>
      <c r="E104" s="72">
        <f t="shared" si="7"/>
        <v>823717</v>
      </c>
      <c r="F104" s="410">
        <f>단가내역!H523</f>
        <v>63081</v>
      </c>
      <c r="G104" s="410">
        <f>단가내역!J523</f>
        <v>753191</v>
      </c>
      <c r="H104" s="410">
        <f>단가내역!L523</f>
        <v>7445</v>
      </c>
    </row>
    <row r="105" spans="1:8" ht="20.100000000000001" customHeight="1">
      <c r="A105" s="1">
        <v>100</v>
      </c>
      <c r="B105" s="231" t="s">
        <v>2046</v>
      </c>
      <c r="C105" s="1"/>
      <c r="D105" s="1"/>
      <c r="E105" s="72">
        <f t="shared" si="7"/>
        <v>1123760</v>
      </c>
      <c r="F105" s="410">
        <f>단가내역!H528</f>
        <v>188445</v>
      </c>
      <c r="G105" s="410">
        <f>단가내역!J528</f>
        <v>915210</v>
      </c>
      <c r="H105" s="410">
        <f>단가내역!L528</f>
        <v>20105</v>
      </c>
    </row>
    <row r="106" spans="1:8" ht="20.100000000000001" customHeight="1">
      <c r="A106" s="1">
        <v>101</v>
      </c>
      <c r="B106" s="231" t="s">
        <v>2047</v>
      </c>
      <c r="C106" s="1"/>
      <c r="D106" s="1"/>
      <c r="E106" s="72">
        <f t="shared" si="7"/>
        <v>1227126</v>
      </c>
      <c r="F106" s="410">
        <f>단가내역!H533</f>
        <v>114253</v>
      </c>
      <c r="G106" s="410">
        <f>단가내역!J533</f>
        <v>1105105</v>
      </c>
      <c r="H106" s="410">
        <f>단가내역!L533</f>
        <v>7768</v>
      </c>
    </row>
    <row r="107" spans="1:8" ht="20.100000000000001" customHeight="1">
      <c r="A107" s="1">
        <v>102</v>
      </c>
      <c r="B107" s="231" t="s">
        <v>2060</v>
      </c>
      <c r="C107" s="1"/>
      <c r="D107" s="1"/>
      <c r="E107" s="72">
        <f t="shared" ref="E107:E129" si="8">SUM(F107:H107)</f>
        <v>168000</v>
      </c>
      <c r="F107" s="410">
        <f>단가내역!H537</f>
        <v>8000</v>
      </c>
      <c r="G107" s="410">
        <f>단가내역!J537</f>
        <v>160000</v>
      </c>
      <c r="H107" s="410">
        <f>단가내역!L537</f>
        <v>0</v>
      </c>
    </row>
    <row r="108" spans="1:8" ht="20.100000000000001" customHeight="1">
      <c r="A108" s="1">
        <v>103</v>
      </c>
      <c r="B108" s="231" t="s">
        <v>2062</v>
      </c>
      <c r="C108" s="1"/>
      <c r="D108" s="1"/>
      <c r="E108" s="72">
        <f t="shared" si="8"/>
        <v>325500</v>
      </c>
      <c r="F108" s="410">
        <f>단가내역!H541</f>
        <v>15500</v>
      </c>
      <c r="G108" s="410">
        <f>단가내역!J541</f>
        <v>310000</v>
      </c>
      <c r="H108" s="410">
        <f>단가내역!L541</f>
        <v>0</v>
      </c>
    </row>
    <row r="109" spans="1:8" ht="18.75" customHeight="1">
      <c r="A109" s="1">
        <v>104</v>
      </c>
      <c r="B109" s="231" t="s">
        <v>2065</v>
      </c>
      <c r="C109" s="1">
        <v>1</v>
      </c>
      <c r="D109" s="1" t="s">
        <v>14</v>
      </c>
      <c r="E109" s="72">
        <f t="shared" si="8"/>
        <v>299350</v>
      </c>
      <c r="F109" s="410">
        <f>단가내역!H546</f>
        <v>252387</v>
      </c>
      <c r="G109" s="410">
        <f>단가내역!J546</f>
        <v>20210</v>
      </c>
      <c r="H109" s="410">
        <f>단가내역!L546</f>
        <v>26753</v>
      </c>
    </row>
    <row r="110" spans="1:8" ht="18.75" customHeight="1">
      <c r="A110" s="1">
        <v>105</v>
      </c>
      <c r="B110" s="231" t="s">
        <v>2066</v>
      </c>
      <c r="C110" s="1">
        <v>1</v>
      </c>
      <c r="D110" s="1" t="s">
        <v>14</v>
      </c>
      <c r="E110" s="72">
        <f t="shared" si="8"/>
        <v>149674</v>
      </c>
      <c r="F110" s="410">
        <f>단가내역!H549</f>
        <v>126193</v>
      </c>
      <c r="G110" s="410">
        <f>단가내역!J549</f>
        <v>10105</v>
      </c>
      <c r="H110" s="410">
        <f>단가내역!L549</f>
        <v>13376</v>
      </c>
    </row>
    <row r="111" spans="1:8" ht="20.100000000000001" customHeight="1">
      <c r="A111" s="1">
        <v>106</v>
      </c>
      <c r="B111" s="231" t="s">
        <v>2097</v>
      </c>
      <c r="C111" s="1"/>
      <c r="D111" s="1"/>
      <c r="E111" s="72">
        <f t="shared" si="8"/>
        <v>215250</v>
      </c>
      <c r="F111" s="410">
        <f>단가내역!H553</f>
        <v>10250</v>
      </c>
      <c r="G111" s="410">
        <f>단가내역!J553</f>
        <v>205000</v>
      </c>
      <c r="H111" s="410">
        <f>단가내역!L553</f>
        <v>0</v>
      </c>
    </row>
    <row r="112" spans="1:8" ht="20.100000000000001" customHeight="1">
      <c r="A112" s="1">
        <v>107</v>
      </c>
      <c r="B112" s="231" t="s">
        <v>2062</v>
      </c>
      <c r="C112" s="1"/>
      <c r="D112" s="1"/>
      <c r="E112" s="72">
        <f t="shared" si="8"/>
        <v>160650</v>
      </c>
      <c r="F112" s="410">
        <f>단가내역!H557</f>
        <v>7650</v>
      </c>
      <c r="G112" s="410">
        <f>단가내역!J557</f>
        <v>153000</v>
      </c>
      <c r="H112" s="410">
        <f>단가내역!L557</f>
        <v>0</v>
      </c>
    </row>
    <row r="113" spans="1:8" ht="20.100000000000001" customHeight="1">
      <c r="A113" s="1">
        <v>108</v>
      </c>
      <c r="B113" s="231" t="s">
        <v>2112</v>
      </c>
      <c r="C113" s="1"/>
      <c r="D113" s="1"/>
      <c r="E113" s="72">
        <f t="shared" si="8"/>
        <v>11799</v>
      </c>
      <c r="F113" s="410">
        <f>단가내역!H562</f>
        <v>3164</v>
      </c>
      <c r="G113" s="410">
        <f>단가내역!J562</f>
        <v>8635</v>
      </c>
      <c r="H113" s="410">
        <f>단가내역!L562</f>
        <v>0</v>
      </c>
    </row>
    <row r="114" spans="1:8" ht="20.100000000000001" customHeight="1">
      <c r="A114" s="1">
        <v>109</v>
      </c>
      <c r="B114" s="231" t="s">
        <v>2113</v>
      </c>
      <c r="C114" s="1"/>
      <c r="D114" s="1"/>
      <c r="E114" s="72">
        <f t="shared" si="8"/>
        <v>55924</v>
      </c>
      <c r="F114" s="410">
        <f>단가내역!H569</f>
        <v>54103</v>
      </c>
      <c r="G114" s="410">
        <f>단가내역!J569</f>
        <v>1821</v>
      </c>
      <c r="H114" s="410">
        <f>단가내역!L569</f>
        <v>0</v>
      </c>
    </row>
    <row r="115" spans="1:8" ht="20.100000000000001" customHeight="1">
      <c r="A115" s="1">
        <v>110</v>
      </c>
      <c r="B115" s="231" t="str">
        <f>[7]단가내역!F572</f>
        <v>기존 개거숭상(T=200, H=300)</v>
      </c>
      <c r="C115" s="1"/>
      <c r="D115" s="1"/>
      <c r="E115" s="72">
        <f t="shared" si="8"/>
        <v>121429</v>
      </c>
      <c r="F115" s="129">
        <v>116780</v>
      </c>
      <c r="G115" s="129">
        <v>2985</v>
      </c>
      <c r="H115" s="129">
        <v>1664</v>
      </c>
    </row>
    <row r="116" spans="1:8" ht="20.100000000000001" customHeight="1">
      <c r="A116" s="1">
        <v>111</v>
      </c>
      <c r="B116" s="231" t="str">
        <f>단가내역!F570</f>
        <v>고압세척</v>
      </c>
      <c r="C116" s="1"/>
      <c r="D116" s="1"/>
      <c r="E116" s="72">
        <f t="shared" si="8"/>
        <v>5588</v>
      </c>
      <c r="F116" s="410">
        <f>단가내역!H573</f>
        <v>5426</v>
      </c>
      <c r="G116" s="410">
        <f>단가내역!J573</f>
        <v>0</v>
      </c>
      <c r="H116" s="410">
        <f>단가내역!L573</f>
        <v>162</v>
      </c>
    </row>
    <row r="117" spans="1:8" ht="20.100000000000001" customHeight="1">
      <c r="A117" s="1">
        <v>112</v>
      </c>
      <c r="B117" s="231" t="str">
        <f>단가내역!F574</f>
        <v>준설(인력)</v>
      </c>
      <c r="C117" s="1"/>
      <c r="D117" s="1"/>
      <c r="E117" s="72">
        <f t="shared" si="8"/>
        <v>34413</v>
      </c>
      <c r="F117" s="410">
        <f>단가내역!H576</f>
        <v>34413</v>
      </c>
      <c r="G117" s="410">
        <f>단가내역!J576</f>
        <v>0</v>
      </c>
      <c r="H117" s="410">
        <f>단가내역!L576</f>
        <v>0</v>
      </c>
    </row>
    <row r="118" spans="1:8" ht="20.100000000000001" customHeight="1">
      <c r="A118" s="1">
        <v>113</v>
      </c>
      <c r="B118" s="231" t="str">
        <f>단가내역!F577</f>
        <v>콘크리트 단면보수(방수및보수)</v>
      </c>
      <c r="C118" s="1"/>
      <c r="D118" s="1"/>
      <c r="E118" s="72">
        <f t="shared" si="8"/>
        <v>334115</v>
      </c>
      <c r="F118" s="410">
        <f>단가내역!H581</f>
        <v>147384</v>
      </c>
      <c r="G118" s="410">
        <f>단가내역!J581</f>
        <v>180000</v>
      </c>
      <c r="H118" s="410">
        <f>단가내역!L581</f>
        <v>6731</v>
      </c>
    </row>
    <row r="119" spans="1:8" ht="20.100000000000001" customHeight="1">
      <c r="A119" s="1">
        <v>114</v>
      </c>
      <c r="B119" s="231" t="s">
        <v>2286</v>
      </c>
      <c r="C119" s="1"/>
      <c r="D119" s="1"/>
      <c r="E119" s="72">
        <f t="shared" si="8"/>
        <v>4865</v>
      </c>
      <c r="F119" s="410">
        <f>단가내역!H586</f>
        <v>1356</v>
      </c>
      <c r="G119" s="410">
        <f>단가내역!J586</f>
        <v>3469</v>
      </c>
      <c r="H119" s="410">
        <f>단가내역!L586</f>
        <v>40</v>
      </c>
    </row>
    <row r="120" spans="1:8" ht="20.100000000000001" customHeight="1">
      <c r="A120" s="1">
        <v>115</v>
      </c>
      <c r="B120" s="231" t="str">
        <f>단가내역!F591</f>
        <v>수로관보수(죠인트보수)</v>
      </c>
      <c r="C120" s="1"/>
      <c r="D120" s="1"/>
      <c r="E120" s="72">
        <f t="shared" si="8"/>
        <v>301326</v>
      </c>
      <c r="F120" s="410">
        <f>단가내역!H596</f>
        <v>115549</v>
      </c>
      <c r="G120" s="410">
        <f>단가내역!J596</f>
        <v>180000</v>
      </c>
      <c r="H120" s="410">
        <f>단가내역!L596</f>
        <v>5777</v>
      </c>
    </row>
    <row r="121" spans="1:8" ht="20.100000000000001" customHeight="1">
      <c r="A121" s="1">
        <v>116</v>
      </c>
      <c r="B121" s="231" t="str">
        <f>단가내역!F597</f>
        <v>톤 마대쌓기</v>
      </c>
      <c r="C121" s="1"/>
      <c r="D121" s="1"/>
      <c r="E121" s="72">
        <f t="shared" si="8"/>
        <v>49685</v>
      </c>
      <c r="F121" s="410">
        <f>단가내역!H604</f>
        <v>30913</v>
      </c>
      <c r="G121" s="410">
        <f>단가내역!J604</f>
        <v>13801</v>
      </c>
      <c r="H121" s="410">
        <f>단가내역!L604</f>
        <v>4971</v>
      </c>
    </row>
    <row r="122" spans="1:8" ht="20.100000000000001" customHeight="1">
      <c r="A122" s="1">
        <v>117</v>
      </c>
      <c r="B122" s="231" t="str">
        <f>단가내역!F605</f>
        <v>톤 마대헐기</v>
      </c>
      <c r="C122" s="1"/>
      <c r="D122" s="1"/>
      <c r="E122" s="72">
        <f t="shared" si="8"/>
        <v>16660</v>
      </c>
      <c r="F122" s="410">
        <f>단가내역!H609</f>
        <v>11409</v>
      </c>
      <c r="G122" s="410">
        <f>단가내역!J609</f>
        <v>2861</v>
      </c>
      <c r="H122" s="410">
        <f>단가내역!L609</f>
        <v>2390</v>
      </c>
    </row>
    <row r="123" spans="1:8" ht="20.100000000000001" customHeight="1">
      <c r="A123" s="1">
        <v>118</v>
      </c>
      <c r="B123" s="231" t="s">
        <v>2416</v>
      </c>
      <c r="C123" s="1"/>
      <c r="D123" s="1"/>
      <c r="E123" s="72">
        <f t="shared" si="8"/>
        <v>148784</v>
      </c>
      <c r="F123" s="410">
        <f>단가내역!H613</f>
        <v>144451</v>
      </c>
      <c r="G123" s="410">
        <f>단가내역!J613</f>
        <v>0</v>
      </c>
      <c r="H123" s="410">
        <f>단가내역!L613</f>
        <v>4333</v>
      </c>
    </row>
    <row r="124" spans="1:8" ht="20.100000000000001" customHeight="1">
      <c r="A124" s="1">
        <v>119</v>
      </c>
      <c r="B124" s="231" t="s">
        <v>2448</v>
      </c>
      <c r="C124" s="1"/>
      <c r="D124" s="1"/>
      <c r="E124" s="72">
        <f t="shared" si="8"/>
        <v>655358</v>
      </c>
      <c r="F124" s="410">
        <f>단가내역!H623</f>
        <v>479151</v>
      </c>
      <c r="G124" s="410">
        <f>단가내역!J623</f>
        <v>160658</v>
      </c>
      <c r="H124" s="410">
        <f>단가내역!L623</f>
        <v>15549</v>
      </c>
    </row>
    <row r="125" spans="1:8" ht="20.100000000000001" customHeight="1">
      <c r="A125" s="1">
        <v>120</v>
      </c>
      <c r="B125" s="231" t="s">
        <v>2449</v>
      </c>
      <c r="C125" s="1"/>
      <c r="D125" s="1"/>
      <c r="E125" s="72">
        <f t="shared" si="8"/>
        <v>438289</v>
      </c>
      <c r="F125" s="67">
        <f>단가내역!H633</f>
        <v>307267</v>
      </c>
      <c r="G125" s="67">
        <f>단가내역!J633</f>
        <v>121051</v>
      </c>
      <c r="H125" s="67">
        <f>단가내역!L633</f>
        <v>9971</v>
      </c>
    </row>
    <row r="126" spans="1:8" ht="20.100000000000001" customHeight="1">
      <c r="A126" s="1">
        <v>121</v>
      </c>
      <c r="B126" s="231" t="s">
        <v>2474</v>
      </c>
      <c r="C126" s="1"/>
      <c r="D126" s="1"/>
      <c r="E126" s="72">
        <f>SUM(F126:H126)</f>
        <v>62270</v>
      </c>
      <c r="F126" s="410">
        <f>단가내역!H641</f>
        <v>58959</v>
      </c>
      <c r="G126" s="410">
        <f>단가내역!J641</f>
        <v>1799</v>
      </c>
      <c r="H126" s="410">
        <f>단가내역!L641</f>
        <v>1512</v>
      </c>
    </row>
    <row r="127" spans="1:8" ht="20.100000000000001" customHeight="1">
      <c r="A127" s="1">
        <v>122</v>
      </c>
      <c r="B127" s="231" t="s">
        <v>2458</v>
      </c>
      <c r="C127" s="1"/>
      <c r="D127" s="1"/>
      <c r="E127" s="72">
        <f t="shared" si="8"/>
        <v>85076</v>
      </c>
      <c r="F127" s="410">
        <f>단가내역!H649</f>
        <v>79353</v>
      </c>
      <c r="G127" s="410">
        <f>단가내역!J649</f>
        <v>3514</v>
      </c>
      <c r="H127" s="410">
        <f>단가내역!L649</f>
        <v>2209</v>
      </c>
    </row>
    <row r="128" spans="1:8" ht="20.100000000000001" customHeight="1">
      <c r="A128" s="1">
        <v>123</v>
      </c>
      <c r="B128" s="231" t="s">
        <v>2469</v>
      </c>
      <c r="C128" s="1"/>
      <c r="D128" s="1"/>
      <c r="E128" s="72">
        <f t="shared" si="8"/>
        <v>38397</v>
      </c>
      <c r="F128" s="410">
        <f>단가내역!H654</f>
        <v>37645</v>
      </c>
      <c r="G128" s="410">
        <f>단가내역!J654</f>
        <v>0</v>
      </c>
      <c r="H128" s="410">
        <f>단가내역!L654</f>
        <v>752</v>
      </c>
    </row>
    <row r="129" spans="1:8" ht="20.100000000000001" customHeight="1">
      <c r="A129" s="1">
        <v>124</v>
      </c>
      <c r="B129" s="231" t="s">
        <v>2521</v>
      </c>
      <c r="C129" s="1"/>
      <c r="D129" s="1"/>
      <c r="E129" s="72">
        <f t="shared" si="8"/>
        <v>78799</v>
      </c>
      <c r="F129" s="410">
        <f>단가내역!H661</f>
        <v>66225</v>
      </c>
      <c r="G129" s="410">
        <f>단가내역!J661</f>
        <v>5424</v>
      </c>
      <c r="H129" s="410">
        <f>단가내역!L661</f>
        <v>7150</v>
      </c>
    </row>
    <row r="130" spans="1:8" ht="20.100000000000001" customHeight="1">
      <c r="A130" s="1">
        <v>126</v>
      </c>
      <c r="B130" s="231" t="s">
        <v>2554</v>
      </c>
      <c r="C130" s="1"/>
      <c r="D130" s="1"/>
      <c r="E130" s="72">
        <f>SUM(F130:H130)</f>
        <v>826788</v>
      </c>
      <c r="F130" s="410">
        <f>단가내역!H667</f>
        <v>655113</v>
      </c>
      <c r="G130" s="410">
        <f>단가내역!J667</f>
        <v>75560</v>
      </c>
      <c r="H130" s="410">
        <f>단가내역!L667</f>
        <v>96115</v>
      </c>
    </row>
    <row r="131" spans="1:8" ht="20.100000000000001" customHeight="1">
      <c r="A131" s="1">
        <v>127</v>
      </c>
      <c r="B131" s="231" t="s">
        <v>2561</v>
      </c>
      <c r="C131" s="1"/>
      <c r="D131" s="1"/>
      <c r="E131" s="72">
        <f>단가내역!F672</f>
        <v>15061</v>
      </c>
      <c r="F131" s="410">
        <f>단가내역!H672</f>
        <v>14625</v>
      </c>
      <c r="G131" s="410">
        <f>단가내역!J672</f>
        <v>359</v>
      </c>
      <c r="H131" s="410">
        <f>단가내역!L672</f>
        <v>77</v>
      </c>
    </row>
    <row r="132" spans="1:8" ht="20.100000000000001" customHeight="1">
      <c r="A132" s="1">
        <v>128</v>
      </c>
      <c r="B132" s="231" t="s">
        <v>2583</v>
      </c>
      <c r="C132" s="1"/>
      <c r="D132" s="1"/>
      <c r="E132" s="72">
        <f>SUM(F132:H132)</f>
        <v>17364</v>
      </c>
      <c r="F132" s="410">
        <f>단가내역!H677</f>
        <v>13745</v>
      </c>
      <c r="G132" s="410">
        <f>단가내역!J677</f>
        <v>3570</v>
      </c>
      <c r="H132" s="410">
        <f>단가내역!L677</f>
        <v>49</v>
      </c>
    </row>
    <row r="133" spans="1:8" ht="20.100000000000001" customHeight="1">
      <c r="A133" s="1">
        <v>129</v>
      </c>
      <c r="B133" s="231" t="s">
        <v>2585</v>
      </c>
      <c r="C133" s="1"/>
      <c r="D133" s="1"/>
      <c r="E133" s="969">
        <f>단가산출!CX106</f>
        <v>5597</v>
      </c>
      <c r="F133" s="968" t="str">
        <f>단가산출!CY106</f>
        <v>3,032</v>
      </c>
      <c r="G133" s="968" t="str">
        <f>단가산출!CZ106</f>
        <v>1,108</v>
      </c>
      <c r="H133" s="968" t="str">
        <f>단가산출!DA106</f>
        <v>1,457</v>
      </c>
    </row>
    <row r="134" spans="1:8" ht="20.100000000000001" customHeight="1">
      <c r="A134" s="1">
        <f t="shared" ref="A134:A140" si="9">A133+1</f>
        <v>130</v>
      </c>
      <c r="B134" s="231" t="s">
        <v>2696</v>
      </c>
      <c r="C134" s="1"/>
      <c r="D134" s="1"/>
      <c r="E134" s="72">
        <f t="shared" ref="E134:E141" si="10">SUM(F134:H134)</f>
        <v>0</v>
      </c>
      <c r="F134" s="410">
        <f>단가내역!H721</f>
        <v>0</v>
      </c>
      <c r="G134" s="410">
        <f>단가내역!J721</f>
        <v>0</v>
      </c>
      <c r="H134" s="410">
        <f>단가내역!L721</f>
        <v>0</v>
      </c>
    </row>
    <row r="135" spans="1:8" ht="20.100000000000001" customHeight="1">
      <c r="A135" s="1">
        <f t="shared" si="9"/>
        <v>131</v>
      </c>
      <c r="B135" s="231" t="s">
        <v>2706</v>
      </c>
      <c r="C135" s="1"/>
      <c r="D135" s="1"/>
      <c r="E135" s="72">
        <f t="shared" si="10"/>
        <v>266148</v>
      </c>
      <c r="F135" s="410">
        <f>단가내역!H682</f>
        <v>14474</v>
      </c>
      <c r="G135" s="410">
        <f>단가내역!J682</f>
        <v>251558</v>
      </c>
      <c r="H135" s="410">
        <f>단가내역!L682</f>
        <v>116</v>
      </c>
    </row>
    <row r="136" spans="1:8" ht="20.100000000000001" customHeight="1">
      <c r="A136" s="1">
        <f t="shared" si="9"/>
        <v>132</v>
      </c>
      <c r="B136" s="231" t="s">
        <v>2707</v>
      </c>
      <c r="C136" s="1"/>
      <c r="D136" s="1"/>
      <c r="E136" s="72">
        <f t="shared" si="10"/>
        <v>356284</v>
      </c>
      <c r="F136" s="410">
        <f>단가내역!H687</f>
        <v>18766</v>
      </c>
      <c r="G136" s="410">
        <f>단가내역!J687</f>
        <v>337402</v>
      </c>
      <c r="H136" s="410">
        <f>단가내역!L687</f>
        <v>116</v>
      </c>
    </row>
    <row r="137" spans="1:8" s="989" customFormat="1" ht="20.100000000000001" customHeight="1">
      <c r="A137" s="988">
        <f>A136+1</f>
        <v>133</v>
      </c>
      <c r="B137" s="231" t="s">
        <v>2752</v>
      </c>
      <c r="C137" s="988"/>
      <c r="D137" s="988"/>
      <c r="E137" s="72">
        <f t="shared" ref="E137" si="11">SUM(F137:H137)</f>
        <v>9206</v>
      </c>
      <c r="F137" s="990">
        <f>단가내역!H693</f>
        <v>5809</v>
      </c>
      <c r="G137" s="990">
        <f>단가내역!J693</f>
        <v>2700</v>
      </c>
      <c r="H137" s="990">
        <f>단가내역!L693</f>
        <v>697</v>
      </c>
    </row>
    <row r="138" spans="1:8" ht="20.100000000000001" customHeight="1">
      <c r="A138" s="1">
        <f>A137+1</f>
        <v>134</v>
      </c>
      <c r="B138" s="231" t="s">
        <v>2724</v>
      </c>
      <c r="C138" s="1"/>
      <c r="D138" s="1"/>
      <c r="E138" s="72">
        <f t="shared" si="10"/>
        <v>24948</v>
      </c>
      <c r="F138" s="410">
        <f>단가내역!H699</f>
        <v>12911</v>
      </c>
      <c r="G138" s="410">
        <f>단가내역!J699</f>
        <v>10230</v>
      </c>
      <c r="H138" s="410">
        <f>단가내역!L699</f>
        <v>1807</v>
      </c>
    </row>
    <row r="139" spans="1:8" ht="20.100000000000001" customHeight="1">
      <c r="A139" s="1">
        <f t="shared" si="9"/>
        <v>135</v>
      </c>
      <c r="B139" s="231" t="s">
        <v>2725</v>
      </c>
      <c r="C139" s="1"/>
      <c r="D139" s="1"/>
      <c r="E139" s="72">
        <f t="shared" si="10"/>
        <v>39942</v>
      </c>
      <c r="F139" s="410">
        <f>단가내역!H705</f>
        <v>16616</v>
      </c>
      <c r="G139" s="410">
        <f>단가내역!J705</f>
        <v>21000</v>
      </c>
      <c r="H139" s="410">
        <f>단가내역!L705</f>
        <v>2326</v>
      </c>
    </row>
    <row r="140" spans="1:8" ht="20.100000000000001" customHeight="1">
      <c r="A140" s="1">
        <f t="shared" si="9"/>
        <v>136</v>
      </c>
      <c r="B140" s="231" t="s">
        <v>2726</v>
      </c>
      <c r="C140" s="1"/>
      <c r="D140" s="1"/>
      <c r="E140" s="72">
        <f t="shared" si="10"/>
        <v>67320</v>
      </c>
      <c r="F140" s="410">
        <f>단가내역!H711</f>
        <v>21148</v>
      </c>
      <c r="G140" s="410">
        <f>단가내역!J711</f>
        <v>43000</v>
      </c>
      <c r="H140" s="410">
        <f>단가내역!L711</f>
        <v>3172</v>
      </c>
    </row>
    <row r="141" spans="1:8" ht="20.100000000000001" customHeight="1">
      <c r="A141" s="1">
        <f>A140+1</f>
        <v>137</v>
      </c>
      <c r="B141" s="231" t="s">
        <v>2727</v>
      </c>
      <c r="C141" s="1"/>
      <c r="D141" s="1"/>
      <c r="E141" s="72">
        <f t="shared" si="10"/>
        <v>94316</v>
      </c>
      <c r="F141" s="410">
        <f>단가내역!H717</f>
        <v>23240</v>
      </c>
      <c r="G141" s="410">
        <f>단가내역!J717</f>
        <v>67590</v>
      </c>
      <c r="H141" s="410">
        <f>단가내역!L717</f>
        <v>3486</v>
      </c>
    </row>
    <row r="142" spans="1:8" s="989" customFormat="1" ht="20.100000000000001" customHeight="1">
      <c r="A142" s="988">
        <f>A141+1</f>
        <v>138</v>
      </c>
      <c r="B142" s="231" t="s">
        <v>2741</v>
      </c>
      <c r="C142" s="988"/>
      <c r="D142" s="988"/>
      <c r="E142" s="72">
        <f t="shared" ref="E142" si="12">SUM(F142:H142)</f>
        <v>48522</v>
      </c>
      <c r="F142" s="990">
        <v>29579</v>
      </c>
      <c r="G142" s="990">
        <v>18557</v>
      </c>
      <c r="H142" s="990">
        <v>386</v>
      </c>
    </row>
  </sheetData>
  <customSheetViews>
    <customSheetView guid="{D73D5080-A04E-11D4-B8A5-00609727EAB1}" showPageBreaks="1" showRuler="0" topLeftCell="A207">
      <selection activeCell="C214" sqref="C214"/>
      <pageMargins left="0.6" right="0.49" top="1" bottom="1" header="0.5" footer="0.5"/>
      <pageSetup paperSize="9" orientation="landscape" horizontalDpi="300" verticalDpi="300" r:id="rId1"/>
      <headerFooter alignWithMargins="0"/>
    </customSheetView>
    <customSheetView guid="{2D877E0D-A04C-11D4-947E-00001C044B2C}" showRuler="0" topLeftCell="A244">
      <selection activeCell="B244" sqref="B244"/>
      <pageMargins left="0.6" right="0.49" top="1" bottom="1" header="0.5" footer="0.5"/>
      <pageSetup paperSize="9" orientation="landscape" horizontalDpi="300" verticalDpi="300" r:id="rId2"/>
      <headerFooter alignWithMargins="0"/>
    </customSheetView>
    <customSheetView guid="{6F21C780-A002-11D4-A1D9-00104BD549C6}" showRuler="0" topLeftCell="A244">
      <selection activeCell="B244" sqref="B244"/>
      <pageMargins left="0.6" right="0.49" top="1" bottom="1" header="0.5" footer="0.5"/>
      <pageSetup paperSize="9" orientation="landscape" horizontalDpi="300" verticalDpi="300" r:id="rId3"/>
      <headerFooter alignWithMargins="0"/>
    </customSheetView>
  </customSheetViews>
  <phoneticPr fontId="3" type="noConversion"/>
  <printOptions horizontalCentered="1"/>
  <pageMargins left="0.55118110236220474" right="0.55118110236220474" top="0.78740157480314965" bottom="0.59055118110236227" header="0.51181102362204722" footer="0.39370078740157483"/>
  <pageSetup paperSize="9" scale="90" orientation="landscape" r:id="rId4"/>
  <headerFooter alignWithMargins="0"/>
  <rowBreaks count="2" manualBreakCount="2">
    <brk id="94" max="7" man="1"/>
    <brk id="116" max="7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8"/>
  <dimension ref="A1:O722"/>
  <sheetViews>
    <sheetView view="pageBreakPreview" zoomScaleNormal="100" zoomScaleSheetLayoutView="100" workbookViewId="0">
      <selection activeCell="G8" sqref="G8"/>
    </sheetView>
  </sheetViews>
  <sheetFormatPr defaultColWidth="8.88671875" defaultRowHeight="15" customHeight="1"/>
  <cols>
    <col min="1" max="1" width="15.21875" style="10" customWidth="1"/>
    <col min="2" max="2" width="16.5546875" style="14" customWidth="1"/>
    <col min="3" max="3" width="7.77734375" style="10" customWidth="1"/>
    <col min="4" max="4" width="3.44140625" style="28" customWidth="1"/>
    <col min="5" max="5" width="10.5546875" style="302" customWidth="1"/>
    <col min="6" max="6" width="11.109375" style="302" customWidth="1"/>
    <col min="7" max="7" width="9.77734375" style="302" customWidth="1"/>
    <col min="8" max="8" width="10.5546875" style="302" customWidth="1"/>
    <col min="9" max="9" width="10" style="302" customWidth="1"/>
    <col min="10" max="10" width="10.5546875" style="302" customWidth="1"/>
    <col min="11" max="11" width="8.44140625" style="302" customWidth="1"/>
    <col min="12" max="12" width="10" style="302" customWidth="1"/>
    <col min="13" max="16384" width="8.88671875" style="10"/>
  </cols>
  <sheetData>
    <row r="1" spans="1:12" ht="22.5" customHeight="1">
      <c r="A1" s="458" t="s">
        <v>1659</v>
      </c>
      <c r="C1" s="94"/>
      <c r="D1" s="94"/>
      <c r="E1" s="296"/>
      <c r="F1" s="296"/>
      <c r="G1" s="296"/>
      <c r="H1" s="296"/>
      <c r="I1" s="296"/>
      <c r="J1" s="296"/>
      <c r="K1" s="296"/>
      <c r="L1" s="296"/>
    </row>
    <row r="2" spans="1:12" ht="15" customHeight="1">
      <c r="A2" s="1104" t="s">
        <v>407</v>
      </c>
      <c r="B2" s="617" t="s">
        <v>512</v>
      </c>
      <c r="C2" s="1104" t="s">
        <v>408</v>
      </c>
      <c r="D2" s="617" t="s">
        <v>409</v>
      </c>
      <c r="E2" s="603" t="s">
        <v>619</v>
      </c>
      <c r="F2" s="603"/>
      <c r="G2" s="603" t="s">
        <v>513</v>
      </c>
      <c r="H2" s="603"/>
      <c r="I2" s="603" t="s">
        <v>514</v>
      </c>
      <c r="J2" s="603"/>
      <c r="K2" s="603" t="s">
        <v>620</v>
      </c>
      <c r="L2" s="603"/>
    </row>
    <row r="3" spans="1:12" ht="15" customHeight="1">
      <c r="A3" s="1104"/>
      <c r="B3" s="618" t="s">
        <v>515</v>
      </c>
      <c r="C3" s="1104"/>
      <c r="D3" s="619" t="s">
        <v>410</v>
      </c>
      <c r="E3" s="620" t="s">
        <v>592</v>
      </c>
      <c r="F3" s="620" t="s">
        <v>995</v>
      </c>
      <c r="G3" s="620" t="s">
        <v>592</v>
      </c>
      <c r="H3" s="620" t="s">
        <v>995</v>
      </c>
      <c r="I3" s="620" t="s">
        <v>592</v>
      </c>
      <c r="J3" s="620" t="s">
        <v>995</v>
      </c>
      <c r="K3" s="620" t="s">
        <v>592</v>
      </c>
      <c r="L3" s="620" t="s">
        <v>995</v>
      </c>
    </row>
    <row r="4" spans="1:12" ht="15" customHeight="1">
      <c r="A4" s="209"/>
      <c r="B4" s="210"/>
      <c r="C4" s="95"/>
      <c r="D4" s="211"/>
      <c r="E4" s="212">
        <f>1</f>
        <v>1</v>
      </c>
      <c r="F4" s="297" t="s">
        <v>2054</v>
      </c>
      <c r="G4" s="95"/>
      <c r="H4" s="298"/>
      <c r="I4" s="299"/>
      <c r="J4" s="298" t="s">
        <v>1053</v>
      </c>
      <c r="K4" s="299"/>
      <c r="L4" s="300"/>
    </row>
    <row r="5" spans="1:12" ht="15" customHeight="1">
      <c r="A5" s="303" t="s">
        <v>411</v>
      </c>
      <c r="B5" s="130" t="s">
        <v>27</v>
      </c>
      <c r="C5" s="129">
        <v>0.2</v>
      </c>
      <c r="D5" s="1" t="s">
        <v>1014</v>
      </c>
      <c r="E5" s="301">
        <f>G5+I5+K5</f>
        <v>172068</v>
      </c>
      <c r="F5" s="301">
        <f>H5+J5+L5</f>
        <v>34413</v>
      </c>
      <c r="G5" s="301">
        <f>노임!D14</f>
        <v>172068</v>
      </c>
      <c r="H5" s="301">
        <f>INT(C5*G5)</f>
        <v>34413</v>
      </c>
      <c r="I5" s="301"/>
      <c r="J5" s="301">
        <f>INT(C5*I5)</f>
        <v>0</v>
      </c>
      <c r="K5" s="301"/>
      <c r="L5" s="301">
        <f>INT(C5*K5)</f>
        <v>0</v>
      </c>
    </row>
    <row r="6" spans="1:12" ht="15" customHeight="1">
      <c r="A6" s="129" t="s">
        <v>617</v>
      </c>
      <c r="B6" s="130"/>
      <c r="C6" s="129"/>
      <c r="D6" s="1"/>
      <c r="E6" s="301"/>
      <c r="F6" s="301">
        <f>H6+J6+L6</f>
        <v>34413</v>
      </c>
      <c r="G6" s="301"/>
      <c r="H6" s="301">
        <f>SUM(H5:H5)</f>
        <v>34413</v>
      </c>
      <c r="I6" s="301"/>
      <c r="J6" s="301">
        <f>SUM(J5:J5)</f>
        <v>0</v>
      </c>
      <c r="K6" s="301"/>
      <c r="L6" s="301">
        <f>SUM(L5:L5)</f>
        <v>0</v>
      </c>
    </row>
    <row r="7" spans="1:12" ht="15" customHeight="1">
      <c r="A7" s="209"/>
      <c r="B7" s="210"/>
      <c r="C7" s="95"/>
      <c r="D7" s="211"/>
      <c r="E7" s="212">
        <f>E4+1</f>
        <v>2</v>
      </c>
      <c r="F7" s="297" t="s">
        <v>1054</v>
      </c>
      <c r="G7" s="95"/>
      <c r="H7" s="298"/>
      <c r="I7" s="299"/>
      <c r="J7" s="298" t="s">
        <v>1053</v>
      </c>
      <c r="K7" s="299"/>
      <c r="L7" s="300"/>
    </row>
    <row r="8" spans="1:12" ht="15" customHeight="1">
      <c r="A8" s="303" t="s">
        <v>411</v>
      </c>
      <c r="B8" s="130" t="s">
        <v>2295</v>
      </c>
      <c r="C8" s="129">
        <v>1</v>
      </c>
      <c r="D8" s="1" t="s">
        <v>1014</v>
      </c>
      <c r="E8" s="301">
        <f>G8+I8+K8</f>
        <v>1954</v>
      </c>
      <c r="F8" s="301">
        <f>H8+J8+L8</f>
        <v>1954</v>
      </c>
      <c r="G8" s="301">
        <f>중기단위당!H12</f>
        <v>1415</v>
      </c>
      <c r="H8" s="301">
        <f>INT(C8*G8)</f>
        <v>1415</v>
      </c>
      <c r="I8" s="301">
        <f>중기단위당!I12</f>
        <v>229</v>
      </c>
      <c r="J8" s="301">
        <f>INT(C8*I8)</f>
        <v>229</v>
      </c>
      <c r="K8" s="301">
        <f>중기단위당!J12</f>
        <v>310</v>
      </c>
      <c r="L8" s="301">
        <f>INT(C8*K8)</f>
        <v>310</v>
      </c>
    </row>
    <row r="9" spans="1:12" ht="15" customHeight="1">
      <c r="A9" s="129" t="s">
        <v>617</v>
      </c>
      <c r="B9" s="130"/>
      <c r="C9" s="129"/>
      <c r="D9" s="1"/>
      <c r="E9" s="301"/>
      <c r="F9" s="301">
        <f>H9+J9+L9</f>
        <v>1954</v>
      </c>
      <c r="G9" s="301"/>
      <c r="H9" s="301">
        <f>SUM(H8:H8)</f>
        <v>1415</v>
      </c>
      <c r="I9" s="301"/>
      <c r="J9" s="301">
        <f>SUM(J8:J8)</f>
        <v>229</v>
      </c>
      <c r="K9" s="301"/>
      <c r="L9" s="301">
        <f>SUM(L8:L8)</f>
        <v>310</v>
      </c>
    </row>
    <row r="10" spans="1:12" ht="15" customHeight="1">
      <c r="A10" s="209"/>
      <c r="B10" s="210"/>
      <c r="C10" s="95"/>
      <c r="D10" s="211"/>
      <c r="E10" s="212">
        <f>E7+1</f>
        <v>3</v>
      </c>
      <c r="F10" s="297" t="s">
        <v>1055</v>
      </c>
      <c r="G10" s="95"/>
      <c r="H10" s="298"/>
      <c r="I10" s="299"/>
      <c r="J10" s="298" t="s">
        <v>1053</v>
      </c>
      <c r="K10" s="299"/>
      <c r="L10" s="300"/>
    </row>
    <row r="11" spans="1:12" ht="15" customHeight="1">
      <c r="A11" s="130" t="s">
        <v>1304</v>
      </c>
      <c r="B11" s="130" t="s">
        <v>500</v>
      </c>
      <c r="C11" s="129">
        <v>0.1</v>
      </c>
      <c r="D11" s="1" t="s">
        <v>1328</v>
      </c>
      <c r="E11" s="301">
        <f>G11+I11+K11</f>
        <v>172068</v>
      </c>
      <c r="F11" s="301">
        <f>H11+J11+L11</f>
        <v>17206</v>
      </c>
      <c r="G11" s="301">
        <f>노임!D14</f>
        <v>172068</v>
      </c>
      <c r="H11" s="301">
        <f>INT(C11*G11)</f>
        <v>17206</v>
      </c>
      <c r="I11" s="301">
        <v>0</v>
      </c>
      <c r="J11" s="301">
        <f>INT(C11*I11)</f>
        <v>0</v>
      </c>
      <c r="K11" s="301">
        <v>0</v>
      </c>
      <c r="L11" s="301">
        <f>INT(C11*K11)</f>
        <v>0</v>
      </c>
    </row>
    <row r="12" spans="1:12" ht="15" customHeight="1">
      <c r="A12" s="130" t="s">
        <v>594</v>
      </c>
      <c r="B12" s="130"/>
      <c r="C12" s="129">
        <v>1</v>
      </c>
      <c r="D12" s="1" t="s">
        <v>1014</v>
      </c>
      <c r="E12" s="301">
        <f>G12+I12+K12</f>
        <v>4240</v>
      </c>
      <c r="F12" s="301">
        <f>H12+J12+L12</f>
        <v>4240</v>
      </c>
      <c r="G12" s="301">
        <f>중기단위당!H39</f>
        <v>3956</v>
      </c>
      <c r="H12" s="301">
        <f>INT(C12*G12)</f>
        <v>3956</v>
      </c>
      <c r="I12" s="301">
        <f>중기단위당!I39</f>
        <v>226</v>
      </c>
      <c r="J12" s="301">
        <f>INT(C12*I12)</f>
        <v>226</v>
      </c>
      <c r="K12" s="301">
        <f>중기단위당!J39</f>
        <v>58</v>
      </c>
      <c r="L12" s="301">
        <f>INT(C12*K12)</f>
        <v>58</v>
      </c>
    </row>
    <row r="13" spans="1:12" ht="15" customHeight="1">
      <c r="A13" s="129" t="s">
        <v>617</v>
      </c>
      <c r="B13" s="130"/>
      <c r="C13" s="129"/>
      <c r="D13" s="1"/>
      <c r="E13" s="301"/>
      <c r="F13" s="301">
        <f>H13+J13+L13</f>
        <v>21446</v>
      </c>
      <c r="G13" s="301"/>
      <c r="H13" s="301">
        <f>SUM(H11:H12)</f>
        <v>21162</v>
      </c>
      <c r="I13" s="301"/>
      <c r="J13" s="301">
        <f>SUM(J11:J12)</f>
        <v>226</v>
      </c>
      <c r="K13" s="301"/>
      <c r="L13" s="301">
        <f>SUM(L11:L12)</f>
        <v>58</v>
      </c>
    </row>
    <row r="14" spans="1:12" ht="15" customHeight="1">
      <c r="A14" s="209"/>
      <c r="B14" s="210"/>
      <c r="C14" s="95"/>
      <c r="D14" s="211"/>
      <c r="E14" s="212">
        <f>E10+1</f>
        <v>4</v>
      </c>
      <c r="F14" s="297" t="s">
        <v>2308</v>
      </c>
      <c r="G14" s="95"/>
      <c r="H14" s="298"/>
      <c r="I14" s="299"/>
      <c r="J14" s="298" t="s">
        <v>1053</v>
      </c>
      <c r="K14" s="299"/>
      <c r="L14" s="300"/>
    </row>
    <row r="15" spans="1:12" ht="15" customHeight="1">
      <c r="A15" s="130" t="s">
        <v>1304</v>
      </c>
      <c r="B15" s="130" t="s">
        <v>2309</v>
      </c>
      <c r="C15" s="129">
        <v>1</v>
      </c>
      <c r="D15" s="1" t="s">
        <v>1328</v>
      </c>
      <c r="E15" s="301">
        <f>G15+I15+K15</f>
        <v>1262</v>
      </c>
      <c r="F15" s="301">
        <f>H15+J15+L15</f>
        <v>1262</v>
      </c>
      <c r="G15" s="301">
        <f>기초일람!F8</f>
        <v>720</v>
      </c>
      <c r="H15" s="301">
        <f>INT(C15*G15)</f>
        <v>720</v>
      </c>
      <c r="I15" s="301">
        <f>기초일람!G8</f>
        <v>273</v>
      </c>
      <c r="J15" s="301">
        <f>INT(C15*I15)</f>
        <v>273</v>
      </c>
      <c r="K15" s="301">
        <f>기초일람!H8</f>
        <v>269</v>
      </c>
      <c r="L15" s="301">
        <f>INT(C15*K15)</f>
        <v>269</v>
      </c>
    </row>
    <row r="16" spans="1:12" ht="15" customHeight="1">
      <c r="A16" s="130" t="s">
        <v>420</v>
      </c>
      <c r="B16" s="130" t="s">
        <v>2310</v>
      </c>
      <c r="C16" s="129">
        <v>1</v>
      </c>
      <c r="D16" s="1" t="s">
        <v>1014</v>
      </c>
      <c r="E16" s="301">
        <f>G16+I16+K16</f>
        <v>394</v>
      </c>
      <c r="F16" s="301">
        <f>H16+J16+L16</f>
        <v>394</v>
      </c>
      <c r="G16" s="301">
        <f>기초일람!F10</f>
        <v>204</v>
      </c>
      <c r="H16" s="301">
        <f>INT(C16*G16)</f>
        <v>204</v>
      </c>
      <c r="I16" s="301">
        <f>기초일람!G10</f>
        <v>92</v>
      </c>
      <c r="J16" s="301">
        <f>INT(C16*I16)</f>
        <v>92</v>
      </c>
      <c r="K16" s="301">
        <f>기초일람!H10</f>
        <v>98</v>
      </c>
      <c r="L16" s="301">
        <f>INT(C16*K16)</f>
        <v>98</v>
      </c>
    </row>
    <row r="17" spans="1:12" ht="15" customHeight="1">
      <c r="A17" s="129" t="s">
        <v>617</v>
      </c>
      <c r="B17" s="130"/>
      <c r="C17" s="129"/>
      <c r="D17" s="1"/>
      <c r="E17" s="301"/>
      <c r="F17" s="301">
        <f>H17+J17+L17</f>
        <v>1656</v>
      </c>
      <c r="G17" s="301"/>
      <c r="H17" s="301">
        <f>SUM(H15:H16)</f>
        <v>924</v>
      </c>
      <c r="I17" s="301"/>
      <c r="J17" s="301">
        <f>SUM(J15:J16)</f>
        <v>365</v>
      </c>
      <c r="K17" s="301"/>
      <c r="L17" s="301">
        <f>SUM(L15:L16)</f>
        <v>367</v>
      </c>
    </row>
    <row r="18" spans="1:12" ht="15" customHeight="1">
      <c r="A18" s="209"/>
      <c r="B18" s="210"/>
      <c r="C18" s="95"/>
      <c r="D18" s="211"/>
      <c r="E18" s="212">
        <f>E14+1</f>
        <v>5</v>
      </c>
      <c r="F18" s="297" t="s">
        <v>1057</v>
      </c>
      <c r="G18" s="95"/>
      <c r="H18" s="298"/>
      <c r="I18" s="299"/>
      <c r="J18" s="298" t="s">
        <v>1056</v>
      </c>
      <c r="K18" s="299"/>
      <c r="L18" s="300"/>
    </row>
    <row r="19" spans="1:12" ht="15" customHeight="1">
      <c r="A19" s="130" t="s">
        <v>413</v>
      </c>
      <c r="B19" s="130" t="s">
        <v>608</v>
      </c>
      <c r="C19" s="129">
        <v>1</v>
      </c>
      <c r="D19" s="1" t="s">
        <v>1014</v>
      </c>
      <c r="E19" s="301">
        <f>G19+I19+K19</f>
        <v>1262</v>
      </c>
      <c r="F19" s="301">
        <f>H19+J19+L19</f>
        <v>1262</v>
      </c>
      <c r="G19" s="301">
        <f>기초일람!F9</f>
        <v>720</v>
      </c>
      <c r="H19" s="301">
        <f>INT(C19*G19)</f>
        <v>720</v>
      </c>
      <c r="I19" s="301">
        <f>기초일람!G9</f>
        <v>273</v>
      </c>
      <c r="J19" s="301">
        <f>INT(C19*I19)</f>
        <v>273</v>
      </c>
      <c r="K19" s="301">
        <f>기초일람!H9</f>
        <v>269</v>
      </c>
      <c r="L19" s="301">
        <f>INT(C19*K19)</f>
        <v>269</v>
      </c>
    </row>
    <row r="20" spans="1:12" ht="15" customHeight="1">
      <c r="A20" s="129" t="s">
        <v>617</v>
      </c>
      <c r="B20" s="130"/>
      <c r="C20" s="129"/>
      <c r="D20" s="1"/>
      <c r="E20" s="301"/>
      <c r="F20" s="301">
        <f>H20+J20+L20</f>
        <v>1262</v>
      </c>
      <c r="G20" s="301"/>
      <c r="H20" s="301">
        <f>SUM(H19:H19)</f>
        <v>720</v>
      </c>
      <c r="I20" s="301"/>
      <c r="J20" s="301">
        <f>SUM(J19:J19)</f>
        <v>273</v>
      </c>
      <c r="K20" s="301"/>
      <c r="L20" s="301">
        <f>SUM(L19:L19)</f>
        <v>269</v>
      </c>
    </row>
    <row r="21" spans="1:12" ht="15" customHeight="1">
      <c r="A21" s="209"/>
      <c r="B21" s="210"/>
      <c r="C21" s="95"/>
      <c r="D21" s="211"/>
      <c r="E21" s="212">
        <f>E18+1</f>
        <v>6</v>
      </c>
      <c r="F21" s="297" t="s">
        <v>1058</v>
      </c>
      <c r="G21" s="95"/>
      <c r="H21" s="298"/>
      <c r="I21" s="299"/>
      <c r="J21" s="298" t="s">
        <v>1056</v>
      </c>
      <c r="K21" s="299"/>
      <c r="L21" s="300"/>
    </row>
    <row r="22" spans="1:12" ht="15" customHeight="1">
      <c r="A22" s="130" t="s">
        <v>1242</v>
      </c>
      <c r="B22" s="130" t="s">
        <v>608</v>
      </c>
      <c r="C22" s="129">
        <v>1</v>
      </c>
      <c r="D22" s="1" t="s">
        <v>1014</v>
      </c>
      <c r="E22" s="301">
        <f>G22+I22+K22</f>
        <v>1262</v>
      </c>
      <c r="F22" s="301">
        <f>H22+J22+L22</f>
        <v>1262</v>
      </c>
      <c r="G22" s="301">
        <f>중기단위당!H19</f>
        <v>720</v>
      </c>
      <c r="H22" s="301">
        <f>INT(C22*G22)</f>
        <v>720</v>
      </c>
      <c r="I22" s="301">
        <f>중기단위당!I19</f>
        <v>273</v>
      </c>
      <c r="J22" s="301">
        <f>INT(C22*I22)</f>
        <v>273</v>
      </c>
      <c r="K22" s="301">
        <f>중기단위당!J19</f>
        <v>269</v>
      </c>
      <c r="L22" s="301">
        <f>INT(C22*K22)</f>
        <v>269</v>
      </c>
    </row>
    <row r="23" spans="1:12" ht="15" customHeight="1">
      <c r="A23" s="129" t="s">
        <v>617</v>
      </c>
      <c r="B23" s="130"/>
      <c r="C23" s="129"/>
      <c r="D23" s="1"/>
      <c r="E23" s="301"/>
      <c r="F23" s="301">
        <f>H23+J23+L23</f>
        <v>1262</v>
      </c>
      <c r="G23" s="301"/>
      <c r="H23" s="301">
        <f>SUM(H22:H22)</f>
        <v>720</v>
      </c>
      <c r="I23" s="301"/>
      <c r="J23" s="301">
        <f>SUM(J22:J22)</f>
        <v>273</v>
      </c>
      <c r="K23" s="301"/>
      <c r="L23" s="301">
        <f>SUM(L22:L22)</f>
        <v>269</v>
      </c>
    </row>
    <row r="24" spans="1:12" ht="15" customHeight="1">
      <c r="A24" s="209"/>
      <c r="B24" s="210"/>
      <c r="C24" s="95"/>
      <c r="D24" s="211"/>
      <c r="E24" s="212">
        <f>E21+1</f>
        <v>7</v>
      </c>
      <c r="F24" s="297" t="s">
        <v>1059</v>
      </c>
      <c r="G24" s="95"/>
      <c r="H24" s="298"/>
      <c r="I24" s="299"/>
      <c r="J24" s="298" t="s">
        <v>1053</v>
      </c>
      <c r="K24" s="299"/>
      <c r="L24" s="300"/>
    </row>
    <row r="25" spans="1:12" ht="15" customHeight="1">
      <c r="A25" s="130" t="s">
        <v>616</v>
      </c>
      <c r="B25" s="130" t="s">
        <v>415</v>
      </c>
      <c r="C25" s="129">
        <v>1.4</v>
      </c>
      <c r="D25" s="1" t="s">
        <v>991</v>
      </c>
      <c r="E25" s="301">
        <f t="shared" ref="E25:F27" si="0">G25+I25+K25</f>
        <v>34437</v>
      </c>
      <c r="F25" s="301">
        <f t="shared" si="0"/>
        <v>48210</v>
      </c>
      <c r="G25" s="301">
        <f>자재일람!F8</f>
        <v>18754</v>
      </c>
      <c r="H25" s="301">
        <f>INT(C25*G25)</f>
        <v>26255</v>
      </c>
      <c r="I25" s="301">
        <f>자재일람!G8</f>
        <v>14351</v>
      </c>
      <c r="J25" s="301">
        <f>INT(C25*I25)</f>
        <v>20091</v>
      </c>
      <c r="K25" s="301">
        <f>자재일람!H8</f>
        <v>1332</v>
      </c>
      <c r="L25" s="301">
        <f>INT(C25*K25)</f>
        <v>1864</v>
      </c>
    </row>
    <row r="26" spans="1:12" ht="15" customHeight="1">
      <c r="A26" s="130" t="s">
        <v>621</v>
      </c>
      <c r="B26" s="130" t="s">
        <v>1329</v>
      </c>
      <c r="C26" s="129">
        <v>0.05</v>
      </c>
      <c r="D26" s="1" t="s">
        <v>1328</v>
      </c>
      <c r="E26" s="301">
        <f t="shared" si="0"/>
        <v>172068</v>
      </c>
      <c r="F26" s="301">
        <f t="shared" si="0"/>
        <v>8603</v>
      </c>
      <c r="G26" s="301">
        <f>노임!D14</f>
        <v>172068</v>
      </c>
      <c r="H26" s="301">
        <f>INT(C26*G26)</f>
        <v>8603</v>
      </c>
      <c r="I26" s="301">
        <v>0</v>
      </c>
      <c r="J26" s="301">
        <f>INT(C26*I26)</f>
        <v>0</v>
      </c>
      <c r="K26" s="301">
        <v>0</v>
      </c>
      <c r="L26" s="301">
        <f>INT(C26*K26)</f>
        <v>0</v>
      </c>
    </row>
    <row r="27" spans="1:12" ht="15" customHeight="1">
      <c r="A27" s="130" t="s">
        <v>602</v>
      </c>
      <c r="B27" s="130"/>
      <c r="C27" s="129"/>
      <c r="D27" s="1" t="s">
        <v>1328</v>
      </c>
      <c r="E27" s="301">
        <f t="shared" si="0"/>
        <v>0</v>
      </c>
      <c r="F27" s="301">
        <f t="shared" si="0"/>
        <v>0</v>
      </c>
      <c r="G27" s="301">
        <v>0</v>
      </c>
      <c r="H27" s="301">
        <f>INT(C27*G27)</f>
        <v>0</v>
      </c>
      <c r="I27" s="301">
        <v>0</v>
      </c>
      <c r="J27" s="301">
        <f>INT(C27*I27)</f>
        <v>0</v>
      </c>
      <c r="K27" s="301">
        <v>0</v>
      </c>
      <c r="L27" s="301">
        <f>INT(C27*K27)</f>
        <v>0</v>
      </c>
    </row>
    <row r="28" spans="1:12" ht="15" customHeight="1">
      <c r="A28" s="129" t="s">
        <v>617</v>
      </c>
      <c r="B28" s="130"/>
      <c r="C28" s="129"/>
      <c r="D28" s="1"/>
      <c r="E28" s="301"/>
      <c r="F28" s="301">
        <f>H28+J28+L28</f>
        <v>56813</v>
      </c>
      <c r="G28" s="301"/>
      <c r="H28" s="301">
        <f>SUM(H25:H27)</f>
        <v>34858</v>
      </c>
      <c r="I28" s="301"/>
      <c r="J28" s="301">
        <f>SUM(J25:J27)</f>
        <v>20091</v>
      </c>
      <c r="K28" s="301"/>
      <c r="L28" s="301">
        <f>SUM(L25:L27)</f>
        <v>1864</v>
      </c>
    </row>
    <row r="29" spans="1:12" ht="15" customHeight="1">
      <c r="A29" s="209"/>
      <c r="B29" s="210"/>
      <c r="C29" s="95"/>
      <c r="D29" s="211"/>
      <c r="E29" s="212">
        <f>E24+1</f>
        <v>8</v>
      </c>
      <c r="F29" s="297" t="s">
        <v>1060</v>
      </c>
      <c r="G29" s="95"/>
      <c r="H29" s="298"/>
      <c r="I29" s="299"/>
      <c r="J29" s="298" t="s">
        <v>1053</v>
      </c>
      <c r="K29" s="299"/>
      <c r="L29" s="300"/>
    </row>
    <row r="30" spans="1:12" ht="15" customHeight="1">
      <c r="A30" s="303" t="s">
        <v>417</v>
      </c>
      <c r="B30" s="130"/>
      <c r="C30" s="129">
        <v>1</v>
      </c>
      <c r="D30" s="1" t="s">
        <v>1014</v>
      </c>
      <c r="E30" s="301">
        <f>G30+I30+K30</f>
        <v>23995</v>
      </c>
      <c r="F30" s="301">
        <f>H30+J30+L30</f>
        <v>23995</v>
      </c>
      <c r="G30" s="301">
        <f>중기단위당!H43</f>
        <v>12408</v>
      </c>
      <c r="H30" s="301">
        <f>INT(C30*G30)</f>
        <v>12408</v>
      </c>
      <c r="I30" s="301">
        <f>중기단위당!I43</f>
        <v>4702</v>
      </c>
      <c r="J30" s="301">
        <f>INT(C30*I30)</f>
        <v>4702</v>
      </c>
      <c r="K30" s="301">
        <f>중기단위당!J43</f>
        <v>6885</v>
      </c>
      <c r="L30" s="301">
        <f>INT(C30*K30)</f>
        <v>6885</v>
      </c>
    </row>
    <row r="31" spans="1:12" ht="15" customHeight="1">
      <c r="A31" s="303" t="s">
        <v>1163</v>
      </c>
      <c r="B31" s="304" t="s">
        <v>1164</v>
      </c>
      <c r="C31" s="129">
        <v>0.02</v>
      </c>
      <c r="D31" s="1" t="s">
        <v>1328</v>
      </c>
      <c r="E31" s="301">
        <f>G31+I31+K31</f>
        <v>172068</v>
      </c>
      <c r="F31" s="301">
        <f>H31+J31+L31</f>
        <v>3441</v>
      </c>
      <c r="G31" s="301">
        <f>노임!D14</f>
        <v>172068</v>
      </c>
      <c r="H31" s="301">
        <f>INT(C31*G31)</f>
        <v>3441</v>
      </c>
      <c r="I31" s="301">
        <v>0</v>
      </c>
      <c r="J31" s="301">
        <f>INT(C31*I31)</f>
        <v>0</v>
      </c>
      <c r="K31" s="301">
        <v>0</v>
      </c>
      <c r="L31" s="301">
        <f>INT(C31*K31)</f>
        <v>0</v>
      </c>
    </row>
    <row r="32" spans="1:12" ht="15" customHeight="1">
      <c r="A32" s="129" t="s">
        <v>617</v>
      </c>
      <c r="B32" s="130"/>
      <c r="C32" s="129"/>
      <c r="D32" s="1"/>
      <c r="E32" s="301"/>
      <c r="F32" s="301">
        <f>H32+J32+L32</f>
        <v>27436</v>
      </c>
      <c r="G32" s="301"/>
      <c r="H32" s="301">
        <f>SUM(H30:H31)</f>
        <v>15849</v>
      </c>
      <c r="I32" s="301">
        <v>0</v>
      </c>
      <c r="J32" s="301">
        <f>SUM(J30:J31)</f>
        <v>4702</v>
      </c>
      <c r="K32" s="301"/>
      <c r="L32" s="301">
        <f>SUM(L30:L31)</f>
        <v>6885</v>
      </c>
    </row>
    <row r="33" spans="1:12" ht="15" customHeight="1">
      <c r="A33" s="209"/>
      <c r="B33" s="210"/>
      <c r="C33" s="95"/>
      <c r="D33" s="211"/>
      <c r="E33" s="212">
        <f>E29+1</f>
        <v>9</v>
      </c>
      <c r="F33" s="297" t="s">
        <v>15</v>
      </c>
      <c r="G33" s="95"/>
      <c r="H33" s="298"/>
      <c r="I33" s="299"/>
      <c r="J33" s="298" t="s">
        <v>1053</v>
      </c>
      <c r="K33" s="299"/>
      <c r="L33" s="300"/>
    </row>
    <row r="34" spans="1:12" ht="15" customHeight="1">
      <c r="A34" s="303" t="s">
        <v>417</v>
      </c>
      <c r="B34" s="130"/>
      <c r="C34" s="129">
        <v>1</v>
      </c>
      <c r="D34" s="1" t="s">
        <v>1014</v>
      </c>
      <c r="E34" s="301">
        <f t="shared" ref="E34:F36" si="1">G34+I34+K34</f>
        <v>45050</v>
      </c>
      <c r="F34" s="301">
        <f t="shared" si="1"/>
        <v>45050</v>
      </c>
      <c r="G34" s="301">
        <f>중기단위당!H45</f>
        <v>23296</v>
      </c>
      <c r="H34" s="301">
        <f>INT(C34*G34)</f>
        <v>23296</v>
      </c>
      <c r="I34" s="301">
        <f>중기단위당!I45</f>
        <v>8828</v>
      </c>
      <c r="J34" s="301">
        <f>INT(C34*I34)</f>
        <v>8828</v>
      </c>
      <c r="K34" s="301">
        <f>중기단위당!J45</f>
        <v>12926</v>
      </c>
      <c r="L34" s="301">
        <f>INT(C34*K34)</f>
        <v>12926</v>
      </c>
    </row>
    <row r="35" spans="1:12" ht="15" customHeight="1">
      <c r="A35" s="303" t="s">
        <v>1163</v>
      </c>
      <c r="B35" s="304" t="s">
        <v>1164</v>
      </c>
      <c r="C35" s="129">
        <v>0.05</v>
      </c>
      <c r="D35" s="1" t="s">
        <v>1328</v>
      </c>
      <c r="E35" s="301">
        <f t="shared" si="1"/>
        <v>172068</v>
      </c>
      <c r="F35" s="301">
        <f t="shared" si="1"/>
        <v>8603</v>
      </c>
      <c r="G35" s="301">
        <f>G31</f>
        <v>172068</v>
      </c>
      <c r="H35" s="301">
        <f>INT(C35*G35)</f>
        <v>8603</v>
      </c>
      <c r="I35" s="301">
        <v>0</v>
      </c>
      <c r="J35" s="301">
        <f>INT(C35*I35)</f>
        <v>0</v>
      </c>
      <c r="K35" s="301">
        <v>0</v>
      </c>
      <c r="L35" s="301">
        <f>INT(C35*K35)</f>
        <v>0</v>
      </c>
    </row>
    <row r="36" spans="1:12" ht="15" customHeight="1">
      <c r="A36" s="130" t="s">
        <v>24</v>
      </c>
      <c r="B36" s="304" t="s">
        <v>25</v>
      </c>
      <c r="C36" s="129">
        <v>1</v>
      </c>
      <c r="D36" s="1" t="s">
        <v>1014</v>
      </c>
      <c r="E36" s="301">
        <f t="shared" si="1"/>
        <v>22794</v>
      </c>
      <c r="F36" s="301">
        <f t="shared" si="1"/>
        <v>22794</v>
      </c>
      <c r="G36" s="301">
        <f>기초일람!F61</f>
        <v>22034</v>
      </c>
      <c r="H36" s="301">
        <f>INT(C36*G36)</f>
        <v>22034</v>
      </c>
      <c r="I36" s="301">
        <f>기초일람!G61</f>
        <v>705</v>
      </c>
      <c r="J36" s="301">
        <f>INT(C36*I36)</f>
        <v>705</v>
      </c>
      <c r="K36" s="301">
        <f>기초일람!H61</f>
        <v>55</v>
      </c>
      <c r="L36" s="301">
        <f>INT(C36*K36)</f>
        <v>55</v>
      </c>
    </row>
    <row r="37" spans="1:12" ht="15" customHeight="1">
      <c r="A37" s="129" t="s">
        <v>617</v>
      </c>
      <c r="B37" s="130"/>
      <c r="C37" s="129"/>
      <c r="D37" s="1"/>
      <c r="E37" s="301"/>
      <c r="F37" s="301">
        <f>H37+J37+L37</f>
        <v>76447</v>
      </c>
      <c r="G37" s="301"/>
      <c r="H37" s="301">
        <f>SUM(H34:H36)</f>
        <v>53933</v>
      </c>
      <c r="I37" s="301">
        <v>0</v>
      </c>
      <c r="J37" s="301">
        <f>SUM(J34:J36)</f>
        <v>9533</v>
      </c>
      <c r="K37" s="301"/>
      <c r="L37" s="301">
        <f>SUM(L34:L36)</f>
        <v>12981</v>
      </c>
    </row>
    <row r="38" spans="1:12" ht="15" customHeight="1">
      <c r="A38" s="209"/>
      <c r="B38" s="210"/>
      <c r="C38" s="95"/>
      <c r="D38" s="211"/>
      <c r="E38" s="212">
        <f>E33+1</f>
        <v>10</v>
      </c>
      <c r="F38" s="297" t="s">
        <v>1061</v>
      </c>
      <c r="G38" s="95"/>
      <c r="H38" s="298"/>
      <c r="I38" s="299"/>
      <c r="J38" s="298" t="s">
        <v>1062</v>
      </c>
      <c r="K38" s="299"/>
      <c r="L38" s="300"/>
    </row>
    <row r="39" spans="1:12" ht="15" customHeight="1">
      <c r="A39" s="129" t="s">
        <v>611</v>
      </c>
      <c r="B39" s="129" t="s">
        <v>1133</v>
      </c>
      <c r="C39" s="129">
        <v>3.0999999999999999E-3</v>
      </c>
      <c r="D39" s="1" t="s">
        <v>1017</v>
      </c>
      <c r="E39" s="301">
        <f t="shared" ref="E39:F44" si="2">G39+I39+K39</f>
        <v>190000</v>
      </c>
      <c r="F39" s="301">
        <f t="shared" si="2"/>
        <v>589</v>
      </c>
      <c r="G39" s="301">
        <v>0</v>
      </c>
      <c r="H39" s="301">
        <f t="shared" ref="H39:H44" si="3">INT(G39*C39)</f>
        <v>0</v>
      </c>
      <c r="I39" s="301">
        <f>자재!F180</f>
        <v>190000</v>
      </c>
      <c r="J39" s="301">
        <f t="shared" ref="J39:J44" si="4">INT(I39*C39)</f>
        <v>589</v>
      </c>
      <c r="K39" s="301">
        <v>0</v>
      </c>
      <c r="L39" s="301">
        <f t="shared" ref="L39:L44" si="5">INT(K39*C39)</f>
        <v>0</v>
      </c>
    </row>
    <row r="40" spans="1:12" ht="15" customHeight="1">
      <c r="A40" s="129" t="s">
        <v>1134</v>
      </c>
      <c r="B40" s="129" t="s">
        <v>1135</v>
      </c>
      <c r="C40" s="129">
        <v>0.03</v>
      </c>
      <c r="D40" s="1" t="s">
        <v>1013</v>
      </c>
      <c r="E40" s="301">
        <f t="shared" si="2"/>
        <v>10967</v>
      </c>
      <c r="F40" s="301">
        <f t="shared" si="2"/>
        <v>328</v>
      </c>
      <c r="G40" s="301">
        <f>기초단위당!H16</f>
        <v>7068</v>
      </c>
      <c r="H40" s="301">
        <f t="shared" si="3"/>
        <v>212</v>
      </c>
      <c r="I40" s="301">
        <f>기초단위당!I16</f>
        <v>2639</v>
      </c>
      <c r="J40" s="301">
        <f t="shared" si="4"/>
        <v>79</v>
      </c>
      <c r="K40" s="301">
        <f>기초단위당!J16</f>
        <v>1260</v>
      </c>
      <c r="L40" s="301">
        <f t="shared" si="5"/>
        <v>37</v>
      </c>
    </row>
    <row r="41" spans="1:12" ht="15" customHeight="1">
      <c r="A41" s="129" t="s">
        <v>1136</v>
      </c>
      <c r="B41" s="129"/>
      <c r="C41" s="129">
        <v>8.3999999999999995E-3</v>
      </c>
      <c r="D41" s="1" t="s">
        <v>1328</v>
      </c>
      <c r="E41" s="301">
        <f t="shared" si="2"/>
        <v>172068</v>
      </c>
      <c r="F41" s="301">
        <f t="shared" si="2"/>
        <v>1445</v>
      </c>
      <c r="G41" s="301">
        <f>노임!D14</f>
        <v>172068</v>
      </c>
      <c r="H41" s="301">
        <f t="shared" si="3"/>
        <v>1445</v>
      </c>
      <c r="I41" s="301">
        <v>0</v>
      </c>
      <c r="J41" s="301">
        <f t="shared" si="4"/>
        <v>0</v>
      </c>
      <c r="K41" s="301">
        <v>0</v>
      </c>
      <c r="L41" s="301">
        <f t="shared" si="5"/>
        <v>0</v>
      </c>
    </row>
    <row r="42" spans="1:12" ht="15" customHeight="1">
      <c r="A42" s="129" t="s">
        <v>1137</v>
      </c>
      <c r="B42" s="129" t="s">
        <v>1138</v>
      </c>
      <c r="C42" s="129">
        <v>3.3300000000000003E-2</v>
      </c>
      <c r="D42" s="1" t="s">
        <v>605</v>
      </c>
      <c r="E42" s="301">
        <f t="shared" si="2"/>
        <v>48459</v>
      </c>
      <c r="F42" s="301">
        <f t="shared" si="2"/>
        <v>1612</v>
      </c>
      <c r="G42" s="301">
        <f>중기일람!D29</f>
        <v>35608</v>
      </c>
      <c r="H42" s="301">
        <f t="shared" si="3"/>
        <v>1185</v>
      </c>
      <c r="I42" s="301">
        <f>중기일람!E29</f>
        <v>11391</v>
      </c>
      <c r="J42" s="301">
        <f t="shared" si="4"/>
        <v>379</v>
      </c>
      <c r="K42" s="301">
        <f>중기일람!F29</f>
        <v>1460</v>
      </c>
      <c r="L42" s="301">
        <f t="shared" si="5"/>
        <v>48</v>
      </c>
    </row>
    <row r="43" spans="1:12" ht="15" customHeight="1">
      <c r="A43" s="129" t="s">
        <v>1139</v>
      </c>
      <c r="B43" s="129" t="s">
        <v>1140</v>
      </c>
      <c r="C43" s="129">
        <v>3.3300000000000003E-2</v>
      </c>
      <c r="D43" s="1" t="s">
        <v>605</v>
      </c>
      <c r="E43" s="301">
        <f t="shared" si="2"/>
        <v>74</v>
      </c>
      <c r="F43" s="301">
        <f t="shared" si="2"/>
        <v>2</v>
      </c>
      <c r="G43" s="301">
        <v>0</v>
      </c>
      <c r="H43" s="301">
        <f t="shared" si="3"/>
        <v>0</v>
      </c>
      <c r="I43" s="301">
        <v>0</v>
      </c>
      <c r="J43" s="301">
        <f t="shared" si="4"/>
        <v>0</v>
      </c>
      <c r="K43" s="301">
        <v>74</v>
      </c>
      <c r="L43" s="301">
        <f t="shared" si="5"/>
        <v>2</v>
      </c>
    </row>
    <row r="44" spans="1:12" ht="15" customHeight="1">
      <c r="A44" s="129" t="s">
        <v>671</v>
      </c>
      <c r="B44" s="129" t="s">
        <v>1141</v>
      </c>
      <c r="C44" s="129">
        <v>0.05</v>
      </c>
      <c r="D44" s="1"/>
      <c r="E44" s="301">
        <f t="shared" si="2"/>
        <v>1445</v>
      </c>
      <c r="F44" s="301">
        <f t="shared" si="2"/>
        <v>72</v>
      </c>
      <c r="G44" s="301">
        <v>0</v>
      </c>
      <c r="H44" s="301">
        <f t="shared" si="3"/>
        <v>0</v>
      </c>
      <c r="I44" s="301">
        <f>H41</f>
        <v>1445</v>
      </c>
      <c r="J44" s="301">
        <f t="shared" si="4"/>
        <v>72</v>
      </c>
      <c r="K44" s="301">
        <v>0</v>
      </c>
      <c r="L44" s="301">
        <f t="shared" si="5"/>
        <v>0</v>
      </c>
    </row>
    <row r="45" spans="1:12" ht="15" customHeight="1">
      <c r="A45" s="129" t="s">
        <v>617</v>
      </c>
      <c r="B45" s="129"/>
      <c r="C45" s="129"/>
      <c r="D45" s="1"/>
      <c r="E45" s="301"/>
      <c r="F45" s="301">
        <f>H45+J45+L45</f>
        <v>4048</v>
      </c>
      <c r="G45" s="301"/>
      <c r="H45" s="301">
        <f>SUM(H39:H44)</f>
        <v>2842</v>
      </c>
      <c r="I45" s="301"/>
      <c r="J45" s="301">
        <f>SUM(J39:J44)</f>
        <v>1119</v>
      </c>
      <c r="K45" s="301"/>
      <c r="L45" s="301">
        <f>SUM(L39:L44)</f>
        <v>87</v>
      </c>
    </row>
    <row r="46" spans="1:12" ht="15" customHeight="1">
      <c r="A46" s="209"/>
      <c r="B46" s="210"/>
      <c r="C46" s="95"/>
      <c r="D46" s="211"/>
      <c r="E46" s="212">
        <f>E38+1</f>
        <v>11</v>
      </c>
      <c r="F46" s="297" t="s">
        <v>2323</v>
      </c>
      <c r="G46" s="95"/>
      <c r="H46" s="298"/>
      <c r="I46" s="299"/>
      <c r="J46" s="298"/>
      <c r="K46" s="299" t="s">
        <v>418</v>
      </c>
      <c r="L46" s="300"/>
    </row>
    <row r="47" spans="1:12" ht="15" customHeight="1">
      <c r="A47" s="130" t="s">
        <v>419</v>
      </c>
      <c r="B47" s="130" t="s">
        <v>2386</v>
      </c>
      <c r="C47" s="129">
        <v>0.2</v>
      </c>
      <c r="D47" s="1" t="s">
        <v>1014</v>
      </c>
      <c r="E47" s="301">
        <f>G47+I47+K47</f>
        <v>100500</v>
      </c>
      <c r="F47" s="301">
        <f>H47+J47+L47</f>
        <v>20100</v>
      </c>
      <c r="G47" s="301"/>
      <c r="H47" s="301">
        <f>INT(C47*G47)</f>
        <v>0</v>
      </c>
      <c r="I47" s="301">
        <f>자재!F206</f>
        <v>100500</v>
      </c>
      <c r="J47" s="301">
        <f>INT(C47*I47)</f>
        <v>20100</v>
      </c>
      <c r="K47" s="301"/>
      <c r="L47" s="301">
        <f>INT(C47*K47)</f>
        <v>0</v>
      </c>
    </row>
    <row r="48" spans="1:12" ht="15" customHeight="1">
      <c r="A48" s="130" t="s">
        <v>698</v>
      </c>
      <c r="B48" s="130" t="s">
        <v>2387</v>
      </c>
      <c r="C48" s="129">
        <v>0.04</v>
      </c>
      <c r="D48" s="1" t="s">
        <v>501</v>
      </c>
      <c r="E48" s="301">
        <f t="shared" ref="E48:F52" si="6">G48+I48+K48</f>
        <v>267989</v>
      </c>
      <c r="F48" s="301">
        <f t="shared" si="6"/>
        <v>10719</v>
      </c>
      <c r="G48" s="301">
        <f>노임!D9</f>
        <v>267989</v>
      </c>
      <c r="H48" s="301">
        <f>INT(C48*G48)</f>
        <v>10719</v>
      </c>
      <c r="I48" s="301"/>
      <c r="J48" s="301">
        <f>INT(C48*I48)</f>
        <v>0</v>
      </c>
      <c r="K48" s="301"/>
      <c r="L48" s="301">
        <f>INT(C48*K48)</f>
        <v>0</v>
      </c>
    </row>
    <row r="49" spans="1:12" ht="15" customHeight="1">
      <c r="A49" s="130" t="s">
        <v>446</v>
      </c>
      <c r="B49" s="130" t="s">
        <v>2388</v>
      </c>
      <c r="C49" s="129">
        <v>0.02</v>
      </c>
      <c r="D49" s="1" t="s">
        <v>501</v>
      </c>
      <c r="E49" s="301">
        <f t="shared" si="6"/>
        <v>172068</v>
      </c>
      <c r="F49" s="301">
        <f t="shared" si="6"/>
        <v>3441</v>
      </c>
      <c r="G49" s="301">
        <f>노임!D14</f>
        <v>172068</v>
      </c>
      <c r="H49" s="301">
        <f>INT(C49*G49)</f>
        <v>3441</v>
      </c>
      <c r="I49" s="301"/>
      <c r="J49" s="301">
        <f>INT(C49*I49)</f>
        <v>0</v>
      </c>
      <c r="K49" s="301"/>
      <c r="L49" s="301">
        <f>INT(C49*K49)</f>
        <v>0</v>
      </c>
    </row>
    <row r="50" spans="1:12" ht="15" customHeight="1">
      <c r="A50" s="130" t="s">
        <v>447</v>
      </c>
      <c r="B50" s="130" t="s">
        <v>448</v>
      </c>
      <c r="C50" s="129">
        <v>1.1000000000000001</v>
      </c>
      <c r="D50" s="1" t="s">
        <v>250</v>
      </c>
      <c r="E50" s="301">
        <f t="shared" si="6"/>
        <v>2336</v>
      </c>
      <c r="F50" s="301">
        <f t="shared" si="6"/>
        <v>2569</v>
      </c>
      <c r="G50" s="301"/>
      <c r="H50" s="301">
        <f>INT(C50*G50)</f>
        <v>0</v>
      </c>
      <c r="I50" s="301">
        <f>자재!F140</f>
        <v>2336</v>
      </c>
      <c r="J50" s="301">
        <f>INT(C50*I50)</f>
        <v>2569</v>
      </c>
      <c r="K50" s="301"/>
      <c r="L50" s="301">
        <f>INT(C50*K50)</f>
        <v>0</v>
      </c>
    </row>
    <row r="51" spans="1:12" ht="15" customHeight="1">
      <c r="A51" s="130" t="s">
        <v>449</v>
      </c>
      <c r="B51" s="130" t="s">
        <v>450</v>
      </c>
      <c r="C51" s="129">
        <v>0.05</v>
      </c>
      <c r="D51" s="1" t="s">
        <v>990</v>
      </c>
      <c r="E51" s="301">
        <f t="shared" si="6"/>
        <v>1215</v>
      </c>
      <c r="F51" s="301">
        <f t="shared" si="6"/>
        <v>60</v>
      </c>
      <c r="G51" s="301"/>
      <c r="H51" s="301">
        <f>INT(C51*G51)</f>
        <v>0</v>
      </c>
      <c r="I51" s="301">
        <f>자재!F119</f>
        <v>1215</v>
      </c>
      <c r="J51" s="301">
        <f>INT(C51*I51)</f>
        <v>60</v>
      </c>
      <c r="K51" s="301"/>
      <c r="L51" s="301">
        <f>INT(C51*K51)</f>
        <v>0</v>
      </c>
    </row>
    <row r="52" spans="1:12" ht="15" customHeight="1">
      <c r="A52" s="130" t="s">
        <v>2321</v>
      </c>
      <c r="B52" s="130" t="s">
        <v>2322</v>
      </c>
      <c r="C52" s="129">
        <v>0.02</v>
      </c>
      <c r="D52" s="1"/>
      <c r="E52" s="301">
        <f t="shared" si="6"/>
        <v>14160</v>
      </c>
      <c r="F52" s="301">
        <f t="shared" si="6"/>
        <v>283</v>
      </c>
      <c r="G52" s="301">
        <v>0</v>
      </c>
      <c r="H52" s="301">
        <f>INT(G52*C52)</f>
        <v>0</v>
      </c>
      <c r="I52" s="301">
        <f>H49+H48</f>
        <v>14160</v>
      </c>
      <c r="J52" s="301">
        <f>INT(I52*C52)</f>
        <v>283</v>
      </c>
      <c r="K52" s="301">
        <v>0</v>
      </c>
      <c r="L52" s="301">
        <f>INT(K52*C52)</f>
        <v>0</v>
      </c>
    </row>
    <row r="53" spans="1:12" ht="15" customHeight="1">
      <c r="A53" s="130" t="s">
        <v>617</v>
      </c>
      <c r="B53" s="129"/>
      <c r="C53" s="129"/>
      <c r="D53" s="1"/>
      <c r="E53" s="301"/>
      <c r="F53" s="301">
        <f>H53+J53+L53</f>
        <v>37172</v>
      </c>
      <c r="G53" s="301"/>
      <c r="H53" s="301">
        <f>SUM(H47:H52)</f>
        <v>14160</v>
      </c>
      <c r="I53" s="301"/>
      <c r="J53" s="301">
        <f>SUM(J47:J52)</f>
        <v>23012</v>
      </c>
      <c r="K53" s="301"/>
      <c r="L53" s="301">
        <f>SUM(L47:L51)</f>
        <v>0</v>
      </c>
    </row>
    <row r="54" spans="1:12" ht="15" customHeight="1">
      <c r="A54" s="209"/>
      <c r="B54" s="210"/>
      <c r="C54" s="95"/>
      <c r="D54" s="211"/>
      <c r="E54" s="212">
        <f>E46+1</f>
        <v>12</v>
      </c>
      <c r="F54" s="297" t="s">
        <v>1063</v>
      </c>
      <c r="G54" s="95"/>
      <c r="H54" s="298"/>
      <c r="I54" s="299"/>
      <c r="J54" s="298" t="s">
        <v>1064</v>
      </c>
      <c r="K54" s="299"/>
      <c r="L54" s="300"/>
    </row>
    <row r="55" spans="1:12" ht="15" customHeight="1">
      <c r="A55" s="130" t="s">
        <v>634</v>
      </c>
      <c r="B55" s="130" t="s">
        <v>1031</v>
      </c>
      <c r="C55" s="129">
        <v>3.7999999999999999E-2</v>
      </c>
      <c r="D55" s="1" t="s">
        <v>1015</v>
      </c>
      <c r="E55" s="301">
        <f t="shared" ref="E55:F59" si="7">G55+I55+K55</f>
        <v>24200</v>
      </c>
      <c r="F55" s="301">
        <f>H55+J55+L55</f>
        <v>919</v>
      </c>
      <c r="G55" s="301">
        <v>0</v>
      </c>
      <c r="H55" s="301">
        <f>INT(C55*G55)</f>
        <v>0</v>
      </c>
      <c r="I55" s="301">
        <f>자재!F137</f>
        <v>24200</v>
      </c>
      <c r="J55" s="301">
        <f>INT(C55*I55)</f>
        <v>919</v>
      </c>
      <c r="K55" s="301">
        <v>0</v>
      </c>
      <c r="L55" s="301">
        <f>INT(C55*K55)</f>
        <v>0</v>
      </c>
    </row>
    <row r="56" spans="1:12" ht="15" customHeight="1">
      <c r="A56" s="130" t="s">
        <v>663</v>
      </c>
      <c r="B56" s="303"/>
      <c r="C56" s="129">
        <v>7.0000000000000007E-2</v>
      </c>
      <c r="D56" s="1" t="s">
        <v>1328</v>
      </c>
      <c r="E56" s="301">
        <f t="shared" si="7"/>
        <v>272931</v>
      </c>
      <c r="F56" s="301">
        <f t="shared" si="7"/>
        <v>19105</v>
      </c>
      <c r="G56" s="301">
        <f>노임!B4</f>
        <v>272931</v>
      </c>
      <c r="H56" s="301">
        <f>INT(C56*G56)</f>
        <v>19105</v>
      </c>
      <c r="I56" s="301">
        <v>0</v>
      </c>
      <c r="J56" s="301">
        <f>INT(C56*I56)</f>
        <v>0</v>
      </c>
      <c r="K56" s="301">
        <v>0</v>
      </c>
      <c r="L56" s="301">
        <f>INT(C56*K56)</f>
        <v>0</v>
      </c>
    </row>
    <row r="57" spans="1:12" ht="15" customHeight="1">
      <c r="A57" s="130" t="s">
        <v>1329</v>
      </c>
      <c r="B57" s="303"/>
      <c r="C57" s="129">
        <v>0.05</v>
      </c>
      <c r="D57" s="1" t="s">
        <v>1328</v>
      </c>
      <c r="E57" s="301">
        <f t="shared" si="7"/>
        <v>172068</v>
      </c>
      <c r="F57" s="301">
        <f t="shared" si="7"/>
        <v>8603</v>
      </c>
      <c r="G57" s="301">
        <f>노임!D14</f>
        <v>172068</v>
      </c>
      <c r="H57" s="301">
        <f>INT(C57*G57)</f>
        <v>8603</v>
      </c>
      <c r="I57" s="301">
        <v>0</v>
      </c>
      <c r="J57" s="301">
        <f>INT(C57*I57)</f>
        <v>0</v>
      </c>
      <c r="K57" s="301">
        <v>0</v>
      </c>
      <c r="L57" s="301">
        <f>INT(C57*K57)</f>
        <v>0</v>
      </c>
    </row>
    <row r="58" spans="1:12" ht="15" customHeight="1">
      <c r="A58" s="130" t="s">
        <v>671</v>
      </c>
      <c r="B58" s="130" t="s">
        <v>672</v>
      </c>
      <c r="C58" s="129">
        <v>0.05</v>
      </c>
      <c r="D58" s="1"/>
      <c r="E58" s="301">
        <f t="shared" si="7"/>
        <v>919</v>
      </c>
      <c r="F58" s="301">
        <f t="shared" si="7"/>
        <v>45</v>
      </c>
      <c r="G58" s="301">
        <v>0</v>
      </c>
      <c r="H58" s="301">
        <f>INT(C58*G58)</f>
        <v>0</v>
      </c>
      <c r="I58" s="301">
        <f>J55</f>
        <v>919</v>
      </c>
      <c r="J58" s="301">
        <f>INT(C58*I58)</f>
        <v>45</v>
      </c>
      <c r="K58" s="301">
        <v>0</v>
      </c>
      <c r="L58" s="301">
        <f>INT(C58*K58)</f>
        <v>0</v>
      </c>
    </row>
    <row r="59" spans="1:12" ht="15" customHeight="1">
      <c r="A59" s="130" t="s">
        <v>1345</v>
      </c>
      <c r="B59" s="303" t="s">
        <v>1281</v>
      </c>
      <c r="C59" s="129">
        <v>6.4000000000000005E-4</v>
      </c>
      <c r="D59" s="1" t="s">
        <v>991</v>
      </c>
      <c r="E59" s="301">
        <f t="shared" si="7"/>
        <v>32287</v>
      </c>
      <c r="F59" s="301">
        <f t="shared" si="7"/>
        <v>20</v>
      </c>
      <c r="G59" s="301">
        <f>자재일람!F6</f>
        <v>23708</v>
      </c>
      <c r="H59" s="301">
        <f>INT(C59*G59)</f>
        <v>15</v>
      </c>
      <c r="I59" s="301">
        <f>자재일람!G6</f>
        <v>65</v>
      </c>
      <c r="J59" s="301">
        <f>INT(C59*I59)</f>
        <v>0</v>
      </c>
      <c r="K59" s="301">
        <f>자재일람!H6</f>
        <v>8514</v>
      </c>
      <c r="L59" s="301">
        <f>INT(C59*K59)</f>
        <v>5</v>
      </c>
    </row>
    <row r="60" spans="1:12" ht="15" customHeight="1">
      <c r="A60" s="129" t="s">
        <v>617</v>
      </c>
      <c r="B60" s="130"/>
      <c r="C60" s="129"/>
      <c r="D60" s="1"/>
      <c r="E60" s="301"/>
      <c r="F60" s="301">
        <f>H60+J60+L60</f>
        <v>28692</v>
      </c>
      <c r="G60" s="301"/>
      <c r="H60" s="301">
        <f>SUM(H55:H59)</f>
        <v>27723</v>
      </c>
      <c r="I60" s="301"/>
      <c r="J60" s="301">
        <f>SUM(J55:J59)</f>
        <v>964</v>
      </c>
      <c r="K60" s="301"/>
      <c r="L60" s="301">
        <f>SUM(L55:L59)</f>
        <v>5</v>
      </c>
    </row>
    <row r="61" spans="1:12" ht="15" customHeight="1">
      <c r="A61" s="209"/>
      <c r="B61" s="210"/>
      <c r="C61" s="95"/>
      <c r="D61" s="211"/>
      <c r="E61" s="212">
        <f>E54+1</f>
        <v>13</v>
      </c>
      <c r="F61" s="297" t="s">
        <v>51</v>
      </c>
      <c r="G61" s="95"/>
      <c r="H61" s="298"/>
      <c r="I61" s="299"/>
      <c r="J61" s="298" t="s">
        <v>399</v>
      </c>
      <c r="K61" s="299"/>
      <c r="L61" s="300"/>
    </row>
    <row r="62" spans="1:12" ht="15" customHeight="1">
      <c r="A62" s="130" t="s">
        <v>996</v>
      </c>
      <c r="B62" s="130" t="s">
        <v>1032</v>
      </c>
      <c r="C62" s="129">
        <v>0.39900000000000002</v>
      </c>
      <c r="D62" s="1" t="s">
        <v>640</v>
      </c>
      <c r="E62" s="301">
        <f t="shared" ref="E62:F69" si="8">G62+I62+K62</f>
        <v>3050</v>
      </c>
      <c r="F62" s="301">
        <f>H62+J62+L62</f>
        <v>1216</v>
      </c>
      <c r="G62" s="301">
        <v>0</v>
      </c>
      <c r="H62" s="301">
        <f>INT(C62*G62)</f>
        <v>0</v>
      </c>
      <c r="I62" s="301">
        <f>자재!F159</f>
        <v>3050</v>
      </c>
      <c r="J62" s="301">
        <f>INT(C62*I62)</f>
        <v>1216</v>
      </c>
      <c r="K62" s="301">
        <v>0</v>
      </c>
      <c r="L62" s="301">
        <f>INT(C62*K62)</f>
        <v>0</v>
      </c>
    </row>
    <row r="63" spans="1:12" ht="15" customHeight="1">
      <c r="A63" s="130" t="s">
        <v>595</v>
      </c>
      <c r="B63" s="303"/>
      <c r="C63" s="129">
        <v>0.1</v>
      </c>
      <c r="D63" s="1" t="s">
        <v>1017</v>
      </c>
      <c r="E63" s="301">
        <f t="shared" si="8"/>
        <v>830</v>
      </c>
      <c r="F63" s="301">
        <f t="shared" si="8"/>
        <v>83</v>
      </c>
      <c r="G63" s="301">
        <v>0</v>
      </c>
      <c r="H63" s="301">
        <f t="shared" ref="H63:H69" si="9">INT(C63*G63)</f>
        <v>0</v>
      </c>
      <c r="I63" s="301">
        <f>자재!F160</f>
        <v>830</v>
      </c>
      <c r="J63" s="301">
        <f t="shared" ref="J63:J69" si="10">INT(C63*I63)</f>
        <v>83</v>
      </c>
      <c r="K63" s="301">
        <v>0</v>
      </c>
      <c r="L63" s="301">
        <f t="shared" ref="L63:L69" si="11">INT(C63*K63)</f>
        <v>0</v>
      </c>
    </row>
    <row r="64" spans="1:12" ht="15" customHeight="1">
      <c r="A64" s="130" t="s">
        <v>596</v>
      </c>
      <c r="B64" s="303" t="s">
        <v>1033</v>
      </c>
      <c r="C64" s="129">
        <v>0.41599999999999998</v>
      </c>
      <c r="D64" s="1" t="s">
        <v>1017</v>
      </c>
      <c r="E64" s="301">
        <f t="shared" si="8"/>
        <v>1270</v>
      </c>
      <c r="F64" s="301">
        <f t="shared" si="8"/>
        <v>528</v>
      </c>
      <c r="G64" s="301">
        <v>0</v>
      </c>
      <c r="H64" s="301">
        <f t="shared" si="9"/>
        <v>0</v>
      </c>
      <c r="I64" s="301">
        <f>자재!F161</f>
        <v>1270</v>
      </c>
      <c r="J64" s="301">
        <f t="shared" si="10"/>
        <v>528</v>
      </c>
      <c r="K64" s="301">
        <v>0</v>
      </c>
      <c r="L64" s="301">
        <f t="shared" si="11"/>
        <v>0</v>
      </c>
    </row>
    <row r="65" spans="1:12" ht="15" customHeight="1">
      <c r="A65" s="130" t="s">
        <v>1269</v>
      </c>
      <c r="B65" s="303"/>
      <c r="C65" s="129">
        <v>6.0000000000000001E-3</v>
      </c>
      <c r="D65" s="1" t="s">
        <v>1017</v>
      </c>
      <c r="E65" s="301">
        <f t="shared" si="8"/>
        <v>2800</v>
      </c>
      <c r="F65" s="301">
        <f t="shared" si="8"/>
        <v>16</v>
      </c>
      <c r="G65" s="301">
        <v>0</v>
      </c>
      <c r="H65" s="301">
        <f t="shared" si="9"/>
        <v>0</v>
      </c>
      <c r="I65" s="301">
        <f>자재!F162</f>
        <v>2800</v>
      </c>
      <c r="J65" s="301">
        <f t="shared" si="10"/>
        <v>16</v>
      </c>
      <c r="K65" s="301">
        <v>0</v>
      </c>
      <c r="L65" s="301">
        <f t="shared" si="11"/>
        <v>0</v>
      </c>
    </row>
    <row r="66" spans="1:12" ht="15" customHeight="1">
      <c r="A66" s="130" t="s">
        <v>997</v>
      </c>
      <c r="B66" s="130" t="s">
        <v>1034</v>
      </c>
      <c r="C66" s="129">
        <v>0.04</v>
      </c>
      <c r="D66" s="1" t="s">
        <v>1017</v>
      </c>
      <c r="E66" s="301">
        <f t="shared" si="8"/>
        <v>1026</v>
      </c>
      <c r="F66" s="301">
        <f t="shared" si="8"/>
        <v>41</v>
      </c>
      <c r="G66" s="301">
        <v>0</v>
      </c>
      <c r="H66" s="301">
        <f t="shared" si="9"/>
        <v>0</v>
      </c>
      <c r="I66" s="301">
        <f>자재!F163</f>
        <v>1026</v>
      </c>
      <c r="J66" s="301">
        <f t="shared" si="10"/>
        <v>41</v>
      </c>
      <c r="K66" s="301">
        <v>0</v>
      </c>
      <c r="L66" s="301">
        <f t="shared" si="11"/>
        <v>0</v>
      </c>
    </row>
    <row r="67" spans="1:12" ht="15" customHeight="1">
      <c r="A67" s="130" t="s">
        <v>673</v>
      </c>
      <c r="B67" s="303"/>
      <c r="C67" s="129">
        <v>0.1</v>
      </c>
      <c r="D67" s="1" t="s">
        <v>1328</v>
      </c>
      <c r="E67" s="301">
        <f t="shared" si="8"/>
        <v>279433</v>
      </c>
      <c r="F67" s="301">
        <f t="shared" si="8"/>
        <v>27943</v>
      </c>
      <c r="G67" s="301">
        <f>노임!B12</f>
        <v>279433</v>
      </c>
      <c r="H67" s="301">
        <f t="shared" si="9"/>
        <v>27943</v>
      </c>
      <c r="I67" s="301">
        <v>0</v>
      </c>
      <c r="J67" s="301">
        <f t="shared" si="10"/>
        <v>0</v>
      </c>
      <c r="K67" s="301">
        <v>0</v>
      </c>
      <c r="L67" s="301">
        <f t="shared" si="11"/>
        <v>0</v>
      </c>
    </row>
    <row r="68" spans="1:12" ht="15" customHeight="1">
      <c r="A68" s="130" t="s">
        <v>627</v>
      </c>
      <c r="B68" s="130" t="s">
        <v>998</v>
      </c>
      <c r="C68" s="129">
        <v>0.05</v>
      </c>
      <c r="D68" s="1"/>
      <c r="E68" s="301">
        <f t="shared" si="8"/>
        <v>27943</v>
      </c>
      <c r="F68" s="301">
        <f t="shared" si="8"/>
        <v>1397</v>
      </c>
      <c r="G68" s="301">
        <v>0</v>
      </c>
      <c r="H68" s="301">
        <f t="shared" si="9"/>
        <v>0</v>
      </c>
      <c r="I68" s="301">
        <v>0</v>
      </c>
      <c r="J68" s="301">
        <f t="shared" si="10"/>
        <v>0</v>
      </c>
      <c r="K68" s="301">
        <f>SUM(H62:H67)</f>
        <v>27943</v>
      </c>
      <c r="L68" s="301">
        <f t="shared" si="11"/>
        <v>1397</v>
      </c>
    </row>
    <row r="69" spans="1:12" ht="15" customHeight="1">
      <c r="A69" s="303" t="s">
        <v>1345</v>
      </c>
      <c r="B69" s="130" t="s">
        <v>1035</v>
      </c>
      <c r="C69" s="129">
        <v>1E-3</v>
      </c>
      <c r="D69" s="1" t="s">
        <v>991</v>
      </c>
      <c r="E69" s="301">
        <f t="shared" si="8"/>
        <v>32287</v>
      </c>
      <c r="F69" s="301">
        <f t="shared" si="8"/>
        <v>31</v>
      </c>
      <c r="G69" s="301">
        <f>자재일람!F6</f>
        <v>23708</v>
      </c>
      <c r="H69" s="301">
        <f t="shared" si="9"/>
        <v>23</v>
      </c>
      <c r="I69" s="301">
        <f>자재일람!G6</f>
        <v>65</v>
      </c>
      <c r="J69" s="301">
        <f t="shared" si="10"/>
        <v>0</v>
      </c>
      <c r="K69" s="301">
        <f>자재일람!H6</f>
        <v>8514</v>
      </c>
      <c r="L69" s="301">
        <f t="shared" si="11"/>
        <v>8</v>
      </c>
    </row>
    <row r="70" spans="1:12" ht="15" customHeight="1">
      <c r="A70" s="129" t="s">
        <v>617</v>
      </c>
      <c r="B70" s="130"/>
      <c r="C70" s="129"/>
      <c r="D70" s="1"/>
      <c r="E70" s="301"/>
      <c r="F70" s="301">
        <f>H70+J70+L70</f>
        <v>31255</v>
      </c>
      <c r="G70" s="301"/>
      <c r="H70" s="301">
        <f>SUM(H62:H69)</f>
        <v>27966</v>
      </c>
      <c r="I70" s="301"/>
      <c r="J70" s="301">
        <f>SUM(J62:J69)</f>
        <v>1884</v>
      </c>
      <c r="K70" s="301"/>
      <c r="L70" s="301">
        <f>SUM(L62:L69)</f>
        <v>1405</v>
      </c>
    </row>
    <row r="71" spans="1:12" ht="15" customHeight="1">
      <c r="A71" s="209"/>
      <c r="B71" s="210"/>
      <c r="C71" s="95"/>
      <c r="D71" s="211"/>
      <c r="E71" s="212">
        <f>E61+1</f>
        <v>14</v>
      </c>
      <c r="F71" s="297" t="s">
        <v>1065</v>
      </c>
      <c r="G71" s="95"/>
      <c r="H71" s="298"/>
      <c r="I71" s="299"/>
      <c r="J71" s="298" t="s">
        <v>478</v>
      </c>
      <c r="K71" s="299"/>
      <c r="L71" s="300"/>
    </row>
    <row r="72" spans="1:12" ht="15" customHeight="1">
      <c r="A72" s="130" t="s">
        <v>1154</v>
      </c>
      <c r="B72" s="304" t="s">
        <v>1165</v>
      </c>
      <c r="C72" s="93">
        <v>0.97099999999999997</v>
      </c>
      <c r="D72" s="1" t="s">
        <v>991</v>
      </c>
      <c r="E72" s="91">
        <f t="shared" ref="E72:F74" si="12">G72+I72+K72</f>
        <v>1163108</v>
      </c>
      <c r="F72" s="91">
        <f t="shared" si="12"/>
        <v>1129377</v>
      </c>
      <c r="G72" s="91">
        <f>기초일람!F29</f>
        <v>1143569</v>
      </c>
      <c r="H72" s="91">
        <f>INT(C72*G72)</f>
        <v>1110405</v>
      </c>
      <c r="I72" s="91">
        <f>기초일람!G29</f>
        <v>9720</v>
      </c>
      <c r="J72" s="91">
        <f>INT(C72*I72)</f>
        <v>9438</v>
      </c>
      <c r="K72" s="301">
        <f>기초일람!H29</f>
        <v>9819</v>
      </c>
      <c r="L72" s="301">
        <f>INT(C72*K72)</f>
        <v>9534</v>
      </c>
    </row>
    <row r="73" spans="1:12" ht="15" customHeight="1">
      <c r="A73" s="130" t="s">
        <v>1345</v>
      </c>
      <c r="B73" s="126"/>
      <c r="C73" s="129">
        <v>1</v>
      </c>
      <c r="D73" s="1" t="s">
        <v>991</v>
      </c>
      <c r="E73" s="91">
        <f t="shared" si="12"/>
        <v>25639</v>
      </c>
      <c r="F73" s="91">
        <f t="shared" si="12"/>
        <v>25639</v>
      </c>
      <c r="G73" s="91">
        <f>자재일람!F4</f>
        <v>25429</v>
      </c>
      <c r="H73" s="91">
        <f>INT(C73*G73)</f>
        <v>25429</v>
      </c>
      <c r="I73" s="91">
        <f>자재일람!G4</f>
        <v>65</v>
      </c>
      <c r="J73" s="91">
        <f>INT(C73*I73)</f>
        <v>65</v>
      </c>
      <c r="K73" s="301">
        <f>자재일람!H4</f>
        <v>145</v>
      </c>
      <c r="L73" s="301">
        <f>INT(C73*K73)</f>
        <v>145</v>
      </c>
    </row>
    <row r="74" spans="1:12" ht="15" customHeight="1">
      <c r="A74" s="130" t="s">
        <v>1155</v>
      </c>
      <c r="B74" s="130"/>
      <c r="C74" s="129">
        <v>21</v>
      </c>
      <c r="D74" s="1" t="s">
        <v>613</v>
      </c>
      <c r="E74" s="91">
        <f t="shared" si="12"/>
        <v>-430</v>
      </c>
      <c r="F74" s="91">
        <f t="shared" si="12"/>
        <v>-9030</v>
      </c>
      <c r="G74" s="91">
        <v>0</v>
      </c>
      <c r="H74" s="91">
        <f>INT(C74*G74)</f>
        <v>0</v>
      </c>
      <c r="I74" s="91">
        <f>자재!F143</f>
        <v>-430</v>
      </c>
      <c r="J74" s="91">
        <f>INT(C74*I74)</f>
        <v>-9030</v>
      </c>
      <c r="K74" s="301">
        <v>0</v>
      </c>
      <c r="L74" s="301">
        <f>INT(C74*K74)</f>
        <v>0</v>
      </c>
    </row>
    <row r="75" spans="1:12" ht="15" customHeight="1">
      <c r="A75" s="130" t="s">
        <v>1618</v>
      </c>
      <c r="B75" s="130"/>
      <c r="C75" s="129"/>
      <c r="D75" s="1" t="s">
        <v>991</v>
      </c>
      <c r="E75" s="91"/>
      <c r="F75" s="91">
        <f>SUM(F72:F74)</f>
        <v>1145986</v>
      </c>
      <c r="G75" s="91"/>
      <c r="H75" s="91">
        <f>SUM(H72:H74)</f>
        <v>1135834</v>
      </c>
      <c r="I75" s="91"/>
      <c r="J75" s="91">
        <f>SUM(J72:J74)</f>
        <v>473</v>
      </c>
      <c r="K75" s="301"/>
      <c r="L75" s="91">
        <f>SUM(L72:L74)</f>
        <v>9679</v>
      </c>
    </row>
    <row r="76" spans="1:12" ht="15" customHeight="1">
      <c r="A76" s="129" t="s">
        <v>617</v>
      </c>
      <c r="B76" s="130"/>
      <c r="C76" s="129"/>
      <c r="D76" s="1" t="s">
        <v>990</v>
      </c>
      <c r="E76" s="91"/>
      <c r="F76" s="91">
        <f>H76+J76+L76</f>
        <v>1145</v>
      </c>
      <c r="G76" s="91"/>
      <c r="H76" s="91">
        <f>ROUNDDOWN((H75/1000),0)+1</f>
        <v>1136</v>
      </c>
      <c r="I76" s="91">
        <v>0</v>
      </c>
      <c r="J76" s="91">
        <f>ROUNDDOWN((J75/1000),0)</f>
        <v>0</v>
      </c>
      <c r="K76" s="301"/>
      <c r="L76" s="91">
        <f>ROUNDDOWN((L75/1000),0)</f>
        <v>9</v>
      </c>
    </row>
    <row r="77" spans="1:12" ht="15" customHeight="1">
      <c r="A77" s="209"/>
      <c r="B77" s="210"/>
      <c r="C77" s="95"/>
      <c r="D77" s="211"/>
      <c r="E77" s="212">
        <f>E71+1</f>
        <v>15</v>
      </c>
      <c r="F77" s="297" t="s">
        <v>1066</v>
      </c>
      <c r="G77" s="95"/>
      <c r="H77" s="298"/>
      <c r="I77" s="299"/>
      <c r="J77" s="298" t="s">
        <v>478</v>
      </c>
      <c r="K77" s="299"/>
      <c r="L77" s="300"/>
    </row>
    <row r="78" spans="1:12" ht="15" customHeight="1">
      <c r="A78" s="130" t="s">
        <v>1154</v>
      </c>
      <c r="B78" s="304" t="s">
        <v>1165</v>
      </c>
      <c r="C78" s="129">
        <v>0.97099999999999997</v>
      </c>
      <c r="D78" s="1" t="s">
        <v>991</v>
      </c>
      <c r="E78" s="91">
        <f t="shared" ref="E78:F80" si="13">G78+I78+K78</f>
        <v>1040393</v>
      </c>
      <c r="F78" s="91">
        <f t="shared" si="13"/>
        <v>1010220</v>
      </c>
      <c r="G78" s="91">
        <f>기초일람!F28</f>
        <v>1032496</v>
      </c>
      <c r="H78" s="91">
        <f>INT(C78*G78)</f>
        <v>1002553</v>
      </c>
      <c r="I78" s="91">
        <f>기초일람!G28</f>
        <v>7897</v>
      </c>
      <c r="J78" s="91">
        <f>INT(C78*I78)</f>
        <v>7667</v>
      </c>
      <c r="K78" s="91">
        <v>0</v>
      </c>
      <c r="L78" s="301">
        <f>INT(C78*K78)</f>
        <v>0</v>
      </c>
    </row>
    <row r="79" spans="1:12" ht="15" customHeight="1">
      <c r="A79" s="130" t="s">
        <v>1345</v>
      </c>
      <c r="B79" s="126"/>
      <c r="C79" s="129">
        <v>1</v>
      </c>
      <c r="D79" s="1" t="s">
        <v>991</v>
      </c>
      <c r="E79" s="91">
        <f t="shared" si="13"/>
        <v>25639</v>
      </c>
      <c r="F79" s="91">
        <f t="shared" si="13"/>
        <v>25639</v>
      </c>
      <c r="G79" s="91">
        <f>자재일람!F4</f>
        <v>25429</v>
      </c>
      <c r="H79" s="91">
        <f>INT(C79*G79)</f>
        <v>25429</v>
      </c>
      <c r="I79" s="91">
        <f>자재일람!G4</f>
        <v>65</v>
      </c>
      <c r="J79" s="91">
        <f>INT(C79*I79)</f>
        <v>65</v>
      </c>
      <c r="K79" s="91">
        <f>자재일람!H4</f>
        <v>145</v>
      </c>
      <c r="L79" s="301">
        <f>INT(C79*K79)</f>
        <v>145</v>
      </c>
    </row>
    <row r="80" spans="1:12" ht="15" customHeight="1">
      <c r="A80" s="130" t="s">
        <v>1155</v>
      </c>
      <c r="B80" s="130"/>
      <c r="C80" s="129">
        <v>21</v>
      </c>
      <c r="D80" s="1" t="s">
        <v>613</v>
      </c>
      <c r="E80" s="91">
        <f t="shared" si="13"/>
        <v>-430</v>
      </c>
      <c r="F80" s="91">
        <f t="shared" si="13"/>
        <v>-9030</v>
      </c>
      <c r="G80" s="91">
        <v>0</v>
      </c>
      <c r="H80" s="91">
        <f>INT(C80*G80)</f>
        <v>0</v>
      </c>
      <c r="I80" s="91">
        <f>자재!F143</f>
        <v>-430</v>
      </c>
      <c r="J80" s="91">
        <f>INT(C80*I80)</f>
        <v>-9030</v>
      </c>
      <c r="K80" s="91">
        <v>0</v>
      </c>
      <c r="L80" s="301">
        <f>INT(C80*K80)</f>
        <v>0</v>
      </c>
    </row>
    <row r="81" spans="1:12" ht="15" customHeight="1">
      <c r="A81" s="130" t="s">
        <v>1618</v>
      </c>
      <c r="B81" s="130"/>
      <c r="C81" s="129"/>
      <c r="D81" s="1" t="s">
        <v>991</v>
      </c>
      <c r="E81" s="91"/>
      <c r="F81" s="91">
        <f>SUM(F78:F80)</f>
        <v>1026829</v>
      </c>
      <c r="G81" s="91"/>
      <c r="H81" s="91">
        <f>SUM(H78:H80)</f>
        <v>1027982</v>
      </c>
      <c r="I81" s="91"/>
      <c r="J81" s="91">
        <f>SUM(J78:J80)</f>
        <v>-1298</v>
      </c>
      <c r="K81" s="301"/>
      <c r="L81" s="91">
        <f>SUM(L78:L80)</f>
        <v>145</v>
      </c>
    </row>
    <row r="82" spans="1:12" ht="15" customHeight="1">
      <c r="A82" s="129" t="s">
        <v>617</v>
      </c>
      <c r="B82" s="130"/>
      <c r="C82" s="129"/>
      <c r="D82" s="1" t="s">
        <v>990</v>
      </c>
      <c r="E82" s="91"/>
      <c r="F82" s="91">
        <f>H82+J82+L82</f>
        <v>1027</v>
      </c>
      <c r="G82" s="91"/>
      <c r="H82" s="91">
        <f>ROUNDDOWN((H81/1000),0)+1</f>
        <v>1028</v>
      </c>
      <c r="I82" s="91">
        <v>0</v>
      </c>
      <c r="J82" s="91">
        <f>ROUNDDOWN((J81/1000),0)</f>
        <v>-1</v>
      </c>
      <c r="K82" s="301"/>
      <c r="L82" s="91">
        <f>ROUNDDOWN((L81/1000),0)</f>
        <v>0</v>
      </c>
    </row>
    <row r="83" spans="1:12" ht="15" customHeight="1">
      <c r="A83" s="209"/>
      <c r="B83" s="210"/>
      <c r="C83" s="95"/>
      <c r="D83" s="211"/>
      <c r="E83" s="212">
        <f>E77+1</f>
        <v>16</v>
      </c>
      <c r="F83" s="297" t="s">
        <v>1067</v>
      </c>
      <c r="G83" s="95"/>
      <c r="H83" s="298"/>
      <c r="I83" s="299"/>
      <c r="J83" s="298" t="s">
        <v>399</v>
      </c>
      <c r="K83" s="299"/>
      <c r="L83" s="300"/>
    </row>
    <row r="84" spans="1:12" ht="15" customHeight="1">
      <c r="A84" s="130" t="s">
        <v>1169</v>
      </c>
      <c r="B84" s="130"/>
      <c r="C84" s="129">
        <v>0.38</v>
      </c>
      <c r="D84" s="1" t="s">
        <v>169</v>
      </c>
      <c r="E84" s="301">
        <f t="shared" ref="E84:F86" si="14">G84+I84+K84</f>
        <v>27392</v>
      </c>
      <c r="F84" s="301">
        <f t="shared" si="14"/>
        <v>10408</v>
      </c>
      <c r="G84" s="301">
        <v>0</v>
      </c>
      <c r="H84" s="301">
        <f>INT(C84*G84)</f>
        <v>0</v>
      </c>
      <c r="I84" s="301">
        <f>기초일람!G18</f>
        <v>27392</v>
      </c>
      <c r="J84" s="301">
        <f>INT(C84*I84)</f>
        <v>10408</v>
      </c>
      <c r="K84" s="301">
        <v>0</v>
      </c>
      <c r="L84" s="301">
        <f>INT(C84*K84)</f>
        <v>0</v>
      </c>
    </row>
    <row r="85" spans="1:12" ht="15" customHeight="1">
      <c r="A85" s="130" t="s">
        <v>1168</v>
      </c>
      <c r="B85" s="304"/>
      <c r="C85" s="129">
        <v>1</v>
      </c>
      <c r="D85" s="1" t="s">
        <v>2329</v>
      </c>
      <c r="E85" s="301">
        <f t="shared" si="14"/>
        <v>57730</v>
      </c>
      <c r="F85" s="301">
        <f t="shared" si="14"/>
        <v>57730</v>
      </c>
      <c r="G85" s="301">
        <f>기초일람!F20</f>
        <v>57730</v>
      </c>
      <c r="H85" s="301">
        <f>INT(C85*G85)</f>
        <v>57730</v>
      </c>
      <c r="I85" s="301">
        <v>0</v>
      </c>
      <c r="J85" s="301">
        <f>INT(C85*I85)</f>
        <v>0</v>
      </c>
      <c r="K85" s="301">
        <v>0</v>
      </c>
      <c r="L85" s="301">
        <f>INT(C85*K85)</f>
        <v>0</v>
      </c>
    </row>
    <row r="86" spans="1:12" ht="15" customHeight="1">
      <c r="A86" s="130" t="s">
        <v>1345</v>
      </c>
      <c r="B86" s="130"/>
      <c r="C86" s="129">
        <v>1.9E-2</v>
      </c>
      <c r="D86" s="1" t="s">
        <v>1014</v>
      </c>
      <c r="E86" s="301">
        <f t="shared" si="14"/>
        <v>17543</v>
      </c>
      <c r="F86" s="301">
        <f t="shared" si="14"/>
        <v>331</v>
      </c>
      <c r="G86" s="301">
        <f>자재일람!F5</f>
        <v>11668</v>
      </c>
      <c r="H86" s="301">
        <f>INT(C86*G86)</f>
        <v>221</v>
      </c>
      <c r="I86" s="301">
        <f>자재일람!G5</f>
        <v>38</v>
      </c>
      <c r="J86" s="301">
        <f>INT(C86*I86)</f>
        <v>0</v>
      </c>
      <c r="K86" s="301">
        <f>자재일람!H5</f>
        <v>5837</v>
      </c>
      <c r="L86" s="301">
        <f>INT(C86*K86)</f>
        <v>110</v>
      </c>
    </row>
    <row r="87" spans="1:12" ht="15" customHeight="1">
      <c r="A87" s="129" t="s">
        <v>617</v>
      </c>
      <c r="B87" s="130"/>
      <c r="C87" s="129"/>
      <c r="D87" s="1"/>
      <c r="E87" s="301"/>
      <c r="F87" s="301">
        <f>H87+J87+L87</f>
        <v>68469</v>
      </c>
      <c r="G87" s="301"/>
      <c r="H87" s="301">
        <f>SUM(H84:H86)</f>
        <v>57951</v>
      </c>
      <c r="I87" s="301"/>
      <c r="J87" s="301">
        <f>SUM(J84:J86)</f>
        <v>10408</v>
      </c>
      <c r="K87" s="301"/>
      <c r="L87" s="301">
        <f>SUM(L84:L86)</f>
        <v>110</v>
      </c>
    </row>
    <row r="88" spans="1:12" ht="15" customHeight="1">
      <c r="A88" s="209"/>
      <c r="B88" s="210"/>
      <c r="C88" s="95"/>
      <c r="D88" s="211"/>
      <c r="E88" s="212">
        <f>E83+1</f>
        <v>17</v>
      </c>
      <c r="F88" s="297" t="s">
        <v>1068</v>
      </c>
      <c r="G88" s="95"/>
      <c r="H88" s="298"/>
      <c r="I88" s="299"/>
      <c r="J88" s="298" t="s">
        <v>399</v>
      </c>
      <c r="K88" s="299"/>
      <c r="L88" s="300"/>
    </row>
    <row r="89" spans="1:12" ht="15" customHeight="1">
      <c r="A89" s="130" t="s">
        <v>1169</v>
      </c>
      <c r="B89" s="130"/>
      <c r="C89" s="129">
        <v>0.38</v>
      </c>
      <c r="D89" s="1" t="s">
        <v>169</v>
      </c>
      <c r="E89" s="301">
        <f t="shared" ref="E89:F91" si="15">G89+I89+K89</f>
        <v>27392</v>
      </c>
      <c r="F89" s="301">
        <f t="shared" si="15"/>
        <v>10408</v>
      </c>
      <c r="G89" s="301">
        <v>0</v>
      </c>
      <c r="H89" s="301">
        <f>INT(C89*G89)</f>
        <v>0</v>
      </c>
      <c r="I89" s="301">
        <f>기초일람!G18</f>
        <v>27392</v>
      </c>
      <c r="J89" s="301">
        <f>INT(C89*I89)</f>
        <v>10408</v>
      </c>
      <c r="K89" s="301">
        <v>0</v>
      </c>
      <c r="L89" s="301">
        <f>INT(C89*K89)</f>
        <v>0</v>
      </c>
    </row>
    <row r="90" spans="1:12" ht="15" customHeight="1">
      <c r="A90" s="130" t="s">
        <v>1168</v>
      </c>
      <c r="B90" s="304"/>
      <c r="C90" s="129">
        <v>1</v>
      </c>
      <c r="D90" s="1" t="s">
        <v>2329</v>
      </c>
      <c r="E90" s="301">
        <f t="shared" si="15"/>
        <v>35184</v>
      </c>
      <c r="F90" s="301">
        <f t="shared" si="15"/>
        <v>35184</v>
      </c>
      <c r="G90" s="301">
        <f>기초일람!F19</f>
        <v>35184</v>
      </c>
      <c r="H90" s="301">
        <f>INT(C90*G90)</f>
        <v>35184</v>
      </c>
      <c r="I90" s="301">
        <v>0</v>
      </c>
      <c r="J90" s="301">
        <f>INT(C90*I90)</f>
        <v>0</v>
      </c>
      <c r="K90" s="301">
        <v>0</v>
      </c>
      <c r="L90" s="301">
        <f>INT(C90*K90)</f>
        <v>0</v>
      </c>
    </row>
    <row r="91" spans="1:12" ht="15" customHeight="1">
      <c r="A91" s="130" t="s">
        <v>1345</v>
      </c>
      <c r="B91" s="130"/>
      <c r="C91" s="129">
        <v>1.9E-2</v>
      </c>
      <c r="D91" s="1" t="s">
        <v>1014</v>
      </c>
      <c r="E91" s="301">
        <f t="shared" si="15"/>
        <v>17543</v>
      </c>
      <c r="F91" s="301">
        <f t="shared" si="15"/>
        <v>331</v>
      </c>
      <c r="G91" s="301">
        <f>자재일람!F5</f>
        <v>11668</v>
      </c>
      <c r="H91" s="301">
        <f>INT(C91*G91)</f>
        <v>221</v>
      </c>
      <c r="I91" s="301">
        <f>자재일람!G5</f>
        <v>38</v>
      </c>
      <c r="J91" s="301">
        <f>INT(C91*I91)</f>
        <v>0</v>
      </c>
      <c r="K91" s="301">
        <f>자재일람!H5</f>
        <v>5837</v>
      </c>
      <c r="L91" s="301">
        <f>INT(C91*K91)</f>
        <v>110</v>
      </c>
    </row>
    <row r="92" spans="1:12" ht="15" customHeight="1">
      <c r="A92" s="129" t="s">
        <v>617</v>
      </c>
      <c r="B92" s="130"/>
      <c r="C92" s="129"/>
      <c r="D92" s="1"/>
      <c r="E92" s="301"/>
      <c r="F92" s="301">
        <f>H92+J92+L92</f>
        <v>45923</v>
      </c>
      <c r="G92" s="301"/>
      <c r="H92" s="301">
        <f>SUM(H89:H91)</f>
        <v>35405</v>
      </c>
      <c r="I92" s="301"/>
      <c r="J92" s="301">
        <f>SUM(J89:J91)</f>
        <v>10408</v>
      </c>
      <c r="K92" s="301"/>
      <c r="L92" s="301">
        <f>SUM(L89:L91)</f>
        <v>110</v>
      </c>
    </row>
    <row r="93" spans="1:12" ht="15" customHeight="1">
      <c r="A93" s="209"/>
      <c r="B93" s="210"/>
      <c r="C93" s="95"/>
      <c r="D93" s="211"/>
      <c r="E93" s="212">
        <f>E88+1</f>
        <v>18</v>
      </c>
      <c r="F93" s="297" t="s">
        <v>11</v>
      </c>
      <c r="G93" s="95"/>
      <c r="H93" s="298"/>
      <c r="I93" s="299"/>
      <c r="J93" s="298" t="s">
        <v>399</v>
      </c>
      <c r="K93" s="299"/>
      <c r="L93" s="300"/>
    </row>
    <row r="94" spans="1:12" ht="15" customHeight="1">
      <c r="A94" s="130" t="s">
        <v>1169</v>
      </c>
      <c r="B94" s="130"/>
      <c r="C94" s="129">
        <v>0.32700000000000001</v>
      </c>
      <c r="D94" s="1" t="s">
        <v>169</v>
      </c>
      <c r="E94" s="301">
        <f t="shared" ref="E94:F96" si="16">G94+I94+K94</f>
        <v>27392</v>
      </c>
      <c r="F94" s="301">
        <f t="shared" si="16"/>
        <v>8957</v>
      </c>
      <c r="G94" s="301">
        <v>0</v>
      </c>
      <c r="H94" s="301">
        <f>INT(C94*G94)</f>
        <v>0</v>
      </c>
      <c r="I94" s="301">
        <f>기초일람!G18</f>
        <v>27392</v>
      </c>
      <c r="J94" s="301">
        <f>INT(C94*I94)</f>
        <v>8957</v>
      </c>
      <c r="K94" s="301">
        <v>0</v>
      </c>
      <c r="L94" s="301">
        <f>INT(C94*K94)</f>
        <v>0</v>
      </c>
    </row>
    <row r="95" spans="1:12" ht="15" customHeight="1">
      <c r="A95" s="130" t="s">
        <v>1168</v>
      </c>
      <c r="B95" s="304"/>
      <c r="C95" s="129">
        <v>1</v>
      </c>
      <c r="D95" s="1" t="s">
        <v>2329</v>
      </c>
      <c r="E95" s="301">
        <f t="shared" si="16"/>
        <v>35184</v>
      </c>
      <c r="F95" s="301">
        <f t="shared" si="16"/>
        <v>35184</v>
      </c>
      <c r="G95" s="301">
        <f>기초일람!F19</f>
        <v>35184</v>
      </c>
      <c r="H95" s="301">
        <f>INT(C95*G95)</f>
        <v>35184</v>
      </c>
      <c r="I95" s="301">
        <v>0</v>
      </c>
      <c r="J95" s="301">
        <f>INT(C95*I95)</f>
        <v>0</v>
      </c>
      <c r="K95" s="301">
        <v>0</v>
      </c>
      <c r="L95" s="301">
        <f>INT(C95*K95)</f>
        <v>0</v>
      </c>
    </row>
    <row r="96" spans="1:12" ht="15" customHeight="1">
      <c r="A96" s="130" t="s">
        <v>1345</v>
      </c>
      <c r="B96" s="130"/>
      <c r="C96" s="129">
        <v>1.6E-2</v>
      </c>
      <c r="D96" s="1" t="s">
        <v>1014</v>
      </c>
      <c r="E96" s="301">
        <f t="shared" si="16"/>
        <v>17543</v>
      </c>
      <c r="F96" s="301">
        <f t="shared" si="16"/>
        <v>279</v>
      </c>
      <c r="G96" s="301">
        <f>자재일람!F5</f>
        <v>11668</v>
      </c>
      <c r="H96" s="301">
        <f>INT(C96*G96)</f>
        <v>186</v>
      </c>
      <c r="I96" s="301">
        <f>자재일람!G5</f>
        <v>38</v>
      </c>
      <c r="J96" s="301">
        <f>INT(C96*I96)</f>
        <v>0</v>
      </c>
      <c r="K96" s="301">
        <f>자재일람!H5</f>
        <v>5837</v>
      </c>
      <c r="L96" s="301">
        <f>INT(C96*K96)</f>
        <v>93</v>
      </c>
    </row>
    <row r="97" spans="1:12" ht="15" customHeight="1">
      <c r="A97" s="129" t="s">
        <v>617</v>
      </c>
      <c r="B97" s="130"/>
      <c r="C97" s="129"/>
      <c r="D97" s="1"/>
      <c r="E97" s="301"/>
      <c r="F97" s="301">
        <f>H97+J97+L97</f>
        <v>44420</v>
      </c>
      <c r="G97" s="301"/>
      <c r="H97" s="301">
        <f>SUM(H94:H96)</f>
        <v>35370</v>
      </c>
      <c r="I97" s="301"/>
      <c r="J97" s="301">
        <f>SUM(J94:J96)</f>
        <v>8957</v>
      </c>
      <c r="K97" s="301"/>
      <c r="L97" s="301">
        <f>SUM(L94:L96)</f>
        <v>93</v>
      </c>
    </row>
    <row r="98" spans="1:12" ht="15" customHeight="1">
      <c r="A98" s="209"/>
      <c r="B98" s="210"/>
      <c r="C98" s="95"/>
      <c r="D98" s="211"/>
      <c r="E98" s="212">
        <f>E93+1</f>
        <v>19</v>
      </c>
      <c r="F98" s="297" t="s">
        <v>1561</v>
      </c>
      <c r="G98" s="95"/>
      <c r="H98" s="298"/>
      <c r="I98" s="299"/>
      <c r="J98" s="298" t="s">
        <v>399</v>
      </c>
      <c r="K98" s="299"/>
      <c r="L98" s="300"/>
    </row>
    <row r="99" spans="1:12" ht="15" customHeight="1">
      <c r="A99" s="130" t="s">
        <v>1169</v>
      </c>
      <c r="B99" s="130"/>
      <c r="C99" s="129">
        <v>0.32700000000000001</v>
      </c>
      <c r="D99" s="1" t="s">
        <v>169</v>
      </c>
      <c r="E99" s="301">
        <f t="shared" ref="E99:F101" si="17">G99+I99+K99</f>
        <v>27392</v>
      </c>
      <c r="F99" s="301">
        <f t="shared" si="17"/>
        <v>8957</v>
      </c>
      <c r="G99" s="301">
        <v>0</v>
      </c>
      <c r="H99" s="301">
        <f>INT(C99*G99)</f>
        <v>0</v>
      </c>
      <c r="I99" s="301">
        <f>I94</f>
        <v>27392</v>
      </c>
      <c r="J99" s="301">
        <f>INT(C99*I99)</f>
        <v>8957</v>
      </c>
      <c r="K99" s="301">
        <v>0</v>
      </c>
      <c r="L99" s="301">
        <f>INT(C99*K99)</f>
        <v>0</v>
      </c>
    </row>
    <row r="100" spans="1:12" ht="15" customHeight="1">
      <c r="A100" s="130" t="s">
        <v>1168</v>
      </c>
      <c r="B100" s="304"/>
      <c r="C100" s="129">
        <v>1</v>
      </c>
      <c r="D100" s="1" t="s">
        <v>2329</v>
      </c>
      <c r="E100" s="301">
        <f t="shared" si="17"/>
        <v>57730</v>
      </c>
      <c r="F100" s="301">
        <f t="shared" si="17"/>
        <v>57730</v>
      </c>
      <c r="G100" s="301">
        <f>G85</f>
        <v>57730</v>
      </c>
      <c r="H100" s="301">
        <f>INT(C100*G100)</f>
        <v>57730</v>
      </c>
      <c r="I100" s="301">
        <v>0</v>
      </c>
      <c r="J100" s="301">
        <f>INT(C100*I100)</f>
        <v>0</v>
      </c>
      <c r="K100" s="301">
        <v>0</v>
      </c>
      <c r="L100" s="301">
        <f>INT(C100*K100)</f>
        <v>0</v>
      </c>
    </row>
    <row r="101" spans="1:12" ht="15" customHeight="1">
      <c r="A101" s="130" t="s">
        <v>1345</v>
      </c>
      <c r="B101" s="130"/>
      <c r="C101" s="129">
        <v>1.6E-2</v>
      </c>
      <c r="D101" s="1" t="s">
        <v>1014</v>
      </c>
      <c r="E101" s="301">
        <f t="shared" si="17"/>
        <v>17543</v>
      </c>
      <c r="F101" s="301">
        <f t="shared" si="17"/>
        <v>279</v>
      </c>
      <c r="G101" s="301">
        <f>G96</f>
        <v>11668</v>
      </c>
      <c r="H101" s="301">
        <f>INT(C101*G101)</f>
        <v>186</v>
      </c>
      <c r="I101" s="301">
        <f>I96</f>
        <v>38</v>
      </c>
      <c r="J101" s="301">
        <f>INT(C101*I101)</f>
        <v>0</v>
      </c>
      <c r="K101" s="301">
        <f>K96</f>
        <v>5837</v>
      </c>
      <c r="L101" s="301">
        <f>INT(C101*K101)</f>
        <v>93</v>
      </c>
    </row>
    <row r="102" spans="1:12" ht="15" customHeight="1">
      <c r="A102" s="129" t="s">
        <v>617</v>
      </c>
      <c r="B102" s="130"/>
      <c r="C102" s="129"/>
      <c r="D102" s="1"/>
      <c r="E102" s="301"/>
      <c r="F102" s="301">
        <f>H102+J102+L102</f>
        <v>66966</v>
      </c>
      <c r="G102" s="301"/>
      <c r="H102" s="301">
        <f>SUM(H99:H101)</f>
        <v>57916</v>
      </c>
      <c r="I102" s="301"/>
      <c r="J102" s="301">
        <f>SUM(J99:J101)</f>
        <v>8957</v>
      </c>
      <c r="K102" s="301"/>
      <c r="L102" s="301">
        <f>SUM(L99:L101)</f>
        <v>93</v>
      </c>
    </row>
    <row r="103" spans="1:12" ht="15" customHeight="1">
      <c r="A103" s="209"/>
      <c r="B103" s="210"/>
      <c r="C103" s="95"/>
      <c r="D103" s="211"/>
      <c r="E103" s="212">
        <f>E98+1</f>
        <v>20</v>
      </c>
      <c r="F103" s="297" t="s">
        <v>2396</v>
      </c>
      <c r="G103" s="95"/>
      <c r="H103" s="298"/>
      <c r="I103" s="299"/>
      <c r="J103" s="298" t="s">
        <v>1071</v>
      </c>
      <c r="K103" s="299"/>
      <c r="L103" s="300"/>
    </row>
    <row r="104" spans="1:12" ht="15" customHeight="1">
      <c r="A104" s="130" t="s">
        <v>452</v>
      </c>
      <c r="B104" s="305" t="s">
        <v>2411</v>
      </c>
      <c r="C104" s="129">
        <v>1</v>
      </c>
      <c r="D104" s="1" t="s">
        <v>640</v>
      </c>
      <c r="E104" s="306">
        <f t="shared" ref="E104:F106" si="18">G104+I104+K104</f>
        <v>5280</v>
      </c>
      <c r="F104" s="306">
        <f t="shared" si="18"/>
        <v>5280</v>
      </c>
      <c r="G104" s="306"/>
      <c r="H104" s="306"/>
      <c r="I104" s="306">
        <f>자재!F68</f>
        <v>5280</v>
      </c>
      <c r="J104" s="91">
        <f>INT(C104*I104)</f>
        <v>5280</v>
      </c>
      <c r="K104" s="306"/>
      <c r="L104" s="306"/>
    </row>
    <row r="105" spans="1:12" ht="15" customHeight="1">
      <c r="A105" s="130" t="s">
        <v>453</v>
      </c>
      <c r="B105" s="305" t="s">
        <v>2411</v>
      </c>
      <c r="C105" s="129">
        <v>1</v>
      </c>
      <c r="D105" s="1" t="s">
        <v>119</v>
      </c>
      <c r="E105" s="306">
        <f t="shared" si="18"/>
        <v>11088</v>
      </c>
      <c r="F105" s="306">
        <f t="shared" si="18"/>
        <v>11088</v>
      </c>
      <c r="G105" s="306">
        <f>기초일람!F46</f>
        <v>11088</v>
      </c>
      <c r="H105" s="306">
        <f>INT(C105*G105)</f>
        <v>11088</v>
      </c>
      <c r="I105" s="306">
        <f>기초일람!G46</f>
        <v>0</v>
      </c>
      <c r="J105" s="306">
        <f>INT(C105*I105)</f>
        <v>0</v>
      </c>
      <c r="K105" s="306">
        <f>기초일람!H47</f>
        <v>0</v>
      </c>
      <c r="L105" s="306">
        <f>INT(C105*K105)</f>
        <v>0</v>
      </c>
    </row>
    <row r="106" spans="1:12" ht="15" customHeight="1">
      <c r="A106" s="130" t="s">
        <v>414</v>
      </c>
      <c r="B106" s="305"/>
      <c r="C106" s="129">
        <v>1</v>
      </c>
      <c r="D106" s="1" t="s">
        <v>635</v>
      </c>
      <c r="E106" s="306">
        <f t="shared" si="18"/>
        <v>908</v>
      </c>
      <c r="F106" s="306">
        <f t="shared" si="18"/>
        <v>908</v>
      </c>
      <c r="G106" s="306">
        <f>자재일람!F27</f>
        <v>678</v>
      </c>
      <c r="H106" s="306">
        <f>INT(C106*G106)</f>
        <v>678</v>
      </c>
      <c r="I106" s="306">
        <f>자재일람!G27</f>
        <v>190</v>
      </c>
      <c r="J106" s="306">
        <f>INT(C106*I106)</f>
        <v>190</v>
      </c>
      <c r="K106" s="306">
        <f>자재일람!H27</f>
        <v>40</v>
      </c>
      <c r="L106" s="306">
        <f>INT(C106*K106)</f>
        <v>40</v>
      </c>
    </row>
    <row r="107" spans="1:12" ht="15" customHeight="1">
      <c r="A107" s="129" t="s">
        <v>617</v>
      </c>
      <c r="B107" s="129"/>
      <c r="C107" s="129"/>
      <c r="D107" s="1"/>
      <c r="E107" s="306"/>
      <c r="F107" s="306">
        <f>H107+J107+L107</f>
        <v>17276</v>
      </c>
      <c r="G107" s="306"/>
      <c r="H107" s="306">
        <f>SUM(H104:H106)</f>
        <v>11766</v>
      </c>
      <c r="I107" s="306"/>
      <c r="J107" s="306">
        <f>SUM(J104:J106)</f>
        <v>5470</v>
      </c>
      <c r="K107" s="306"/>
      <c r="L107" s="306">
        <f>SUM(L104:L106)</f>
        <v>40</v>
      </c>
    </row>
    <row r="108" spans="1:12" ht="15" customHeight="1">
      <c r="A108" s="209"/>
      <c r="B108" s="210"/>
      <c r="C108" s="95"/>
      <c r="D108" s="211"/>
      <c r="E108" s="212">
        <f>E103+1</f>
        <v>21</v>
      </c>
      <c r="F108" s="297" t="s">
        <v>1070</v>
      </c>
      <c r="G108" s="95"/>
      <c r="H108" s="298"/>
      <c r="I108" s="299"/>
      <c r="J108" s="298" t="s">
        <v>1071</v>
      </c>
      <c r="K108" s="299"/>
      <c r="L108" s="300"/>
    </row>
    <row r="109" spans="1:12" ht="15" customHeight="1">
      <c r="A109" s="130" t="s">
        <v>452</v>
      </c>
      <c r="B109" s="305" t="s">
        <v>454</v>
      </c>
      <c r="C109" s="129">
        <v>1</v>
      </c>
      <c r="D109" s="1" t="s">
        <v>640</v>
      </c>
      <c r="E109" s="306">
        <f t="shared" ref="E109:F111" si="19">G109+I109+K109</f>
        <v>8050</v>
      </c>
      <c r="F109" s="306">
        <f t="shared" si="19"/>
        <v>8050</v>
      </c>
      <c r="G109" s="306"/>
      <c r="H109" s="306"/>
      <c r="I109" s="306">
        <f>자재!F69</f>
        <v>8050</v>
      </c>
      <c r="J109" s="306">
        <f>INT(C109*I109)</f>
        <v>8050</v>
      </c>
      <c r="K109" s="306"/>
      <c r="L109" s="306"/>
    </row>
    <row r="110" spans="1:12" ht="15" customHeight="1">
      <c r="A110" s="130" t="s">
        <v>453</v>
      </c>
      <c r="B110" s="305" t="s">
        <v>454</v>
      </c>
      <c r="C110" s="129">
        <v>1</v>
      </c>
      <c r="D110" s="1" t="s">
        <v>640</v>
      </c>
      <c r="E110" s="306">
        <f t="shared" si="19"/>
        <v>13853</v>
      </c>
      <c r="F110" s="306">
        <f t="shared" si="19"/>
        <v>13853</v>
      </c>
      <c r="G110" s="306">
        <f>기초일람!F48</f>
        <v>13853</v>
      </c>
      <c r="H110" s="306">
        <f>INT(C110*G110)</f>
        <v>13853</v>
      </c>
      <c r="I110" s="306">
        <f>기초일람!G48</f>
        <v>0</v>
      </c>
      <c r="J110" s="306">
        <f>INT(C110*I110)</f>
        <v>0</v>
      </c>
      <c r="K110" s="306">
        <f>기초일람!H48</f>
        <v>0</v>
      </c>
      <c r="L110" s="306">
        <f>INT(C110*K110)</f>
        <v>0</v>
      </c>
    </row>
    <row r="111" spans="1:12" ht="15" customHeight="1">
      <c r="A111" s="130" t="s">
        <v>414</v>
      </c>
      <c r="B111" s="305"/>
      <c r="C111" s="129">
        <v>1</v>
      </c>
      <c r="D111" s="1" t="s">
        <v>640</v>
      </c>
      <c r="E111" s="306">
        <f t="shared" si="19"/>
        <v>1718</v>
      </c>
      <c r="F111" s="306">
        <f t="shared" si="19"/>
        <v>1718</v>
      </c>
      <c r="G111" s="306">
        <f>자재일람!F29</f>
        <v>1282</v>
      </c>
      <c r="H111" s="306">
        <f>INT(C111*G111)</f>
        <v>1282</v>
      </c>
      <c r="I111" s="306">
        <f>자재일람!G29</f>
        <v>359</v>
      </c>
      <c r="J111" s="306">
        <f>INT(C111*I111)</f>
        <v>359</v>
      </c>
      <c r="K111" s="306">
        <f>자재일람!H29</f>
        <v>77</v>
      </c>
      <c r="L111" s="306">
        <f>INT(C111*K111)</f>
        <v>77</v>
      </c>
    </row>
    <row r="112" spans="1:12" ht="15" customHeight="1">
      <c r="A112" s="129" t="s">
        <v>617</v>
      </c>
      <c r="B112" s="129"/>
      <c r="C112" s="129"/>
      <c r="D112" s="1"/>
      <c r="E112" s="306"/>
      <c r="F112" s="306">
        <f>H112+J112+L112</f>
        <v>23621</v>
      </c>
      <c r="G112" s="306"/>
      <c r="H112" s="306">
        <f>SUM(H109:H111)</f>
        <v>15135</v>
      </c>
      <c r="I112" s="306"/>
      <c r="J112" s="306">
        <f>SUM(J109:J111)</f>
        <v>8409</v>
      </c>
      <c r="K112" s="306"/>
      <c r="L112" s="306">
        <f>SUM(L109:L111)</f>
        <v>77</v>
      </c>
    </row>
    <row r="113" spans="1:15" ht="15" customHeight="1">
      <c r="A113" s="209"/>
      <c r="B113" s="210"/>
      <c r="C113" s="95"/>
      <c r="D113" s="211"/>
      <c r="E113" s="212">
        <f>E108+1</f>
        <v>22</v>
      </c>
      <c r="F113" s="297" t="s">
        <v>2397</v>
      </c>
      <c r="G113" s="95"/>
      <c r="H113" s="298"/>
      <c r="I113" s="299"/>
      <c r="J113" s="298" t="s">
        <v>1071</v>
      </c>
      <c r="K113" s="299"/>
      <c r="L113" s="300"/>
    </row>
    <row r="114" spans="1:15" ht="15" customHeight="1">
      <c r="A114" s="130" t="s">
        <v>452</v>
      </c>
      <c r="B114" s="305" t="s">
        <v>2414</v>
      </c>
      <c r="C114" s="129">
        <v>1</v>
      </c>
      <c r="D114" s="1" t="s">
        <v>640</v>
      </c>
      <c r="E114" s="306">
        <f t="shared" ref="E114:F116" si="20">G114+I114+K114</f>
        <v>23390</v>
      </c>
      <c r="F114" s="306">
        <f t="shared" si="20"/>
        <v>23390</v>
      </c>
      <c r="G114" s="306"/>
      <c r="H114" s="306"/>
      <c r="I114" s="306">
        <f>자재!F70</f>
        <v>23390</v>
      </c>
      <c r="J114" s="306">
        <f>INT(C114*I114)</f>
        <v>23390</v>
      </c>
      <c r="K114" s="306"/>
      <c r="L114" s="306"/>
    </row>
    <row r="115" spans="1:15" ht="15" customHeight="1">
      <c r="A115" s="130" t="s">
        <v>453</v>
      </c>
      <c r="B115" s="305" t="s">
        <v>2414</v>
      </c>
      <c r="C115" s="129">
        <v>1</v>
      </c>
      <c r="D115" s="1" t="s">
        <v>640</v>
      </c>
      <c r="E115" s="306">
        <f t="shared" si="20"/>
        <v>21395</v>
      </c>
      <c r="F115" s="306">
        <f t="shared" si="20"/>
        <v>21395</v>
      </c>
      <c r="G115" s="306">
        <f>기초일람!F49</f>
        <v>21395</v>
      </c>
      <c r="H115" s="306">
        <f>INT(C115*G115)</f>
        <v>21395</v>
      </c>
      <c r="I115" s="306">
        <f>기초일람!G49</f>
        <v>0</v>
      </c>
      <c r="J115" s="306">
        <f>INT(C115*I115)</f>
        <v>0</v>
      </c>
      <c r="K115" s="306">
        <f>기초일람!H49</f>
        <v>0</v>
      </c>
      <c r="L115" s="306">
        <f>INT(C115*K115)</f>
        <v>0</v>
      </c>
    </row>
    <row r="116" spans="1:15" ht="15" customHeight="1">
      <c r="A116" s="130" t="s">
        <v>414</v>
      </c>
      <c r="B116" s="305"/>
      <c r="C116" s="129">
        <v>1</v>
      </c>
      <c r="D116" s="1" t="s">
        <v>640</v>
      </c>
      <c r="E116" s="306">
        <f t="shared" si="20"/>
        <v>2577</v>
      </c>
      <c r="F116" s="306">
        <f t="shared" si="20"/>
        <v>2577</v>
      </c>
      <c r="G116" s="306">
        <f>자재일람!F30</f>
        <v>1923</v>
      </c>
      <c r="H116" s="306">
        <f>INT(C116*G116)</f>
        <v>1923</v>
      </c>
      <c r="I116" s="306">
        <f>자재일람!G30</f>
        <v>538</v>
      </c>
      <c r="J116" s="306">
        <f>INT(C116*I116)</f>
        <v>538</v>
      </c>
      <c r="K116" s="306">
        <f>자재일람!H30</f>
        <v>116</v>
      </c>
      <c r="L116" s="306">
        <f>INT(C116*K116)</f>
        <v>116</v>
      </c>
    </row>
    <row r="117" spans="1:15" ht="15" customHeight="1">
      <c r="A117" s="129" t="s">
        <v>617</v>
      </c>
      <c r="B117" s="129"/>
      <c r="C117" s="129"/>
      <c r="D117" s="1"/>
      <c r="E117" s="306"/>
      <c r="F117" s="306">
        <f>H117+J117+L117</f>
        <v>47362</v>
      </c>
      <c r="G117" s="306"/>
      <c r="H117" s="306">
        <f>SUM(H114:H116)</f>
        <v>23318</v>
      </c>
      <c r="I117" s="306"/>
      <c r="J117" s="306">
        <f>SUM(J114:J116)</f>
        <v>23928</v>
      </c>
      <c r="K117" s="306"/>
      <c r="L117" s="306">
        <f>SUM(L114:L116)</f>
        <v>116</v>
      </c>
    </row>
    <row r="118" spans="1:15" ht="15" customHeight="1">
      <c r="A118" s="209"/>
      <c r="B118" s="210"/>
      <c r="C118" s="95"/>
      <c r="D118" s="211"/>
      <c r="E118" s="212">
        <f>E113+1</f>
        <v>23</v>
      </c>
      <c r="F118" s="297" t="s">
        <v>2450</v>
      </c>
      <c r="G118" s="95"/>
      <c r="H118" s="298"/>
      <c r="I118" s="299"/>
      <c r="J118" s="298" t="s">
        <v>1072</v>
      </c>
      <c r="K118" s="299"/>
      <c r="L118" s="300"/>
    </row>
    <row r="119" spans="1:15" ht="15" customHeight="1">
      <c r="A119" s="130" t="s">
        <v>455</v>
      </c>
      <c r="B119" s="130" t="s">
        <v>2451</v>
      </c>
      <c r="C119" s="129">
        <v>1</v>
      </c>
      <c r="D119" s="1" t="s">
        <v>1019</v>
      </c>
      <c r="E119" s="301">
        <f>G119+I119+K119</f>
        <v>12275</v>
      </c>
      <c r="F119" s="301">
        <f>H119+J119+L119</f>
        <v>12275</v>
      </c>
      <c r="G119" s="301">
        <v>0</v>
      </c>
      <c r="H119" s="301">
        <f>INT(C119*G119)</f>
        <v>0</v>
      </c>
      <c r="I119" s="301">
        <f>자재!F57</f>
        <v>12275</v>
      </c>
      <c r="J119" s="301">
        <f>INT(C119*I119)</f>
        <v>12275</v>
      </c>
      <c r="K119" s="301">
        <v>0</v>
      </c>
      <c r="L119" s="301">
        <f>INT(C119*K119)</f>
        <v>0</v>
      </c>
    </row>
    <row r="120" spans="1:15" ht="15" customHeight="1">
      <c r="A120" s="130" t="s">
        <v>2452</v>
      </c>
      <c r="B120" s="130" t="s">
        <v>2455</v>
      </c>
      <c r="C120" s="129">
        <v>0.03</v>
      </c>
      <c r="D120" s="1" t="s">
        <v>2454</v>
      </c>
      <c r="E120" s="301"/>
      <c r="F120" s="301">
        <f>H120+J120+L120</f>
        <v>7144</v>
      </c>
      <c r="G120" s="301">
        <f>노임!D4</f>
        <v>238145</v>
      </c>
      <c r="H120" s="301">
        <f>INT(C120*G120)</f>
        <v>7144</v>
      </c>
      <c r="I120" s="301"/>
      <c r="J120" s="301"/>
      <c r="K120" s="301"/>
      <c r="L120" s="301"/>
    </row>
    <row r="121" spans="1:15" ht="15" customHeight="1">
      <c r="A121" s="130" t="s">
        <v>2453</v>
      </c>
      <c r="B121" s="130" t="s">
        <v>2456</v>
      </c>
      <c r="C121" s="129">
        <v>0.01</v>
      </c>
      <c r="D121" s="1" t="s">
        <v>2454</v>
      </c>
      <c r="E121" s="301">
        <f>G121+I121+K121</f>
        <v>172068</v>
      </c>
      <c r="F121" s="301">
        <f>H121+J121+L121</f>
        <v>1720</v>
      </c>
      <c r="G121" s="301">
        <f>노임!D14</f>
        <v>172068</v>
      </c>
      <c r="H121" s="301">
        <f>INT(C121*G121)</f>
        <v>1720</v>
      </c>
      <c r="I121" s="301">
        <v>0</v>
      </c>
      <c r="J121" s="301">
        <f>INT(C121*I121)</f>
        <v>0</v>
      </c>
      <c r="K121" s="301">
        <v>0</v>
      </c>
      <c r="L121" s="301">
        <f>INT(C121*K121)</f>
        <v>0</v>
      </c>
    </row>
    <row r="122" spans="1:15" ht="15" customHeight="1">
      <c r="A122" s="129" t="s">
        <v>617</v>
      </c>
      <c r="B122" s="130"/>
      <c r="C122" s="129"/>
      <c r="D122" s="1"/>
      <c r="E122" s="301"/>
      <c r="F122" s="301">
        <f>H122+J122+L122</f>
        <v>21139</v>
      </c>
      <c r="G122" s="301"/>
      <c r="H122" s="301">
        <f>SUM(H119:H121)</f>
        <v>8864</v>
      </c>
      <c r="I122" s="301"/>
      <c r="J122" s="301">
        <f>SUM(J119:J121)</f>
        <v>12275</v>
      </c>
      <c r="K122" s="301"/>
      <c r="L122" s="301">
        <f>SUM(L119:L121)</f>
        <v>0</v>
      </c>
    </row>
    <row r="123" spans="1:15" s="374" customFormat="1" ht="15" customHeight="1">
      <c r="A123" s="130" t="s">
        <v>1568</v>
      </c>
      <c r="B123" s="376"/>
      <c r="C123" s="129"/>
      <c r="D123" s="1"/>
      <c r="E123" s="212">
        <f>E118+1</f>
        <v>24</v>
      </c>
      <c r="F123" s="130" t="s">
        <v>1568</v>
      </c>
      <c r="G123" s="301"/>
      <c r="H123" s="301"/>
      <c r="I123" s="301"/>
      <c r="J123" s="301" t="s">
        <v>1406</v>
      </c>
      <c r="K123" s="301"/>
      <c r="L123" s="301"/>
      <c r="O123" s="375"/>
    </row>
    <row r="124" spans="1:15" s="85" customFormat="1" ht="15" customHeight="1">
      <c r="A124" s="130" t="s">
        <v>992</v>
      </c>
      <c r="B124" s="130" t="s">
        <v>73</v>
      </c>
      <c r="C124" s="129">
        <f>1.04*1.5</f>
        <v>1.56</v>
      </c>
      <c r="D124" s="1" t="s">
        <v>991</v>
      </c>
      <c r="E124" s="301">
        <f>I124+G124+K124</f>
        <v>31042</v>
      </c>
      <c r="F124" s="301">
        <f>J124+H124+L124</f>
        <v>48425.4</v>
      </c>
      <c r="G124" s="301">
        <f>자재내역!H46</f>
        <v>20237</v>
      </c>
      <c r="H124" s="301">
        <f>TRUNC($C124*G124,1)</f>
        <v>31569.7</v>
      </c>
      <c r="I124" s="301">
        <f>자재일람!G9</f>
        <v>9958</v>
      </c>
      <c r="J124" s="301">
        <f>TRUNC($C124*I124,1)</f>
        <v>15534.4</v>
      </c>
      <c r="K124" s="301">
        <f>자재일람!H9</f>
        <v>847</v>
      </c>
      <c r="L124" s="301">
        <f>TRUNC($C124*K124,1)</f>
        <v>1321.3</v>
      </c>
    </row>
    <row r="125" spans="1:15" s="89" customFormat="1" ht="15" customHeight="1">
      <c r="A125" s="130" t="s">
        <v>1569</v>
      </c>
      <c r="B125" s="130" t="s">
        <v>72</v>
      </c>
      <c r="C125" s="129">
        <v>1</v>
      </c>
      <c r="D125" s="1" t="s">
        <v>1406</v>
      </c>
      <c r="E125" s="301">
        <f>I125+G125+K125</f>
        <v>986</v>
      </c>
      <c r="F125" s="301">
        <f>J125+H125+L125</f>
        <v>986</v>
      </c>
      <c r="G125" s="301">
        <f>중기단위당!H36</f>
        <v>509</v>
      </c>
      <c r="H125" s="301">
        <f>TRUNC($C125*G125,1)</f>
        <v>509</v>
      </c>
      <c r="I125" s="301">
        <f>중기단위당!I36</f>
        <v>231</v>
      </c>
      <c r="J125" s="301">
        <f>TRUNC($C125*I125,1)</f>
        <v>231</v>
      </c>
      <c r="K125" s="301">
        <f>중기단위당!J36</f>
        <v>246</v>
      </c>
      <c r="L125" s="301">
        <f>TRUNC($C125*K125,1)</f>
        <v>246</v>
      </c>
    </row>
    <row r="126" spans="1:15" s="374" customFormat="1" ht="15" customHeight="1">
      <c r="A126" s="130" t="s">
        <v>936</v>
      </c>
      <c r="B126" s="130"/>
      <c r="C126" s="129"/>
      <c r="D126" s="1"/>
      <c r="E126" s="301"/>
      <c r="F126" s="301">
        <f>H126+J126+L126</f>
        <v>49411.4</v>
      </c>
      <c r="G126" s="301"/>
      <c r="H126" s="301">
        <f>SUM(H124:H125)</f>
        <v>32078.7</v>
      </c>
      <c r="I126" s="301"/>
      <c r="J126" s="301">
        <f>SUM(J124:J125)</f>
        <v>15765.4</v>
      </c>
      <c r="K126" s="301"/>
      <c r="L126" s="301">
        <f>SUM(L124:L125)</f>
        <v>1567.3</v>
      </c>
    </row>
    <row r="127" spans="1:15" ht="15" customHeight="1">
      <c r="A127" s="297"/>
      <c r="B127" s="210"/>
      <c r="C127" s="95"/>
      <c r="D127" s="211"/>
      <c r="E127" s="212">
        <f>E123+1</f>
        <v>25</v>
      </c>
      <c r="F127" s="297" t="s">
        <v>67</v>
      </c>
      <c r="G127" s="95"/>
      <c r="H127" s="298"/>
      <c r="I127" s="299"/>
      <c r="J127" s="298" t="s">
        <v>1053</v>
      </c>
      <c r="K127" s="299"/>
      <c r="L127" s="300"/>
    </row>
    <row r="128" spans="1:15" ht="15" customHeight="1">
      <c r="A128" s="130" t="s">
        <v>68</v>
      </c>
      <c r="B128" s="130" t="s">
        <v>70</v>
      </c>
      <c r="C128" s="129">
        <v>1</v>
      </c>
      <c r="D128" s="1" t="s">
        <v>991</v>
      </c>
      <c r="E128" s="301">
        <f>I128+G128+K128</f>
        <v>1472</v>
      </c>
      <c r="F128" s="301">
        <f>J128+H128+L128</f>
        <v>1472</v>
      </c>
      <c r="G128" s="301">
        <f>중기단위당!H30</f>
        <v>840</v>
      </c>
      <c r="H128" s="301">
        <f>TRUNC($C128*G128,1)</f>
        <v>840</v>
      </c>
      <c r="I128" s="301">
        <f>중기단위당!I30</f>
        <v>318</v>
      </c>
      <c r="J128" s="301">
        <f>TRUNC($C128*I128,1)</f>
        <v>318</v>
      </c>
      <c r="K128" s="301">
        <f>중기단위당!J30</f>
        <v>314</v>
      </c>
      <c r="L128" s="301">
        <f>TRUNC($C128*K128,1)</f>
        <v>314</v>
      </c>
    </row>
    <row r="129" spans="1:12" ht="15" customHeight="1">
      <c r="A129" s="130" t="s">
        <v>69</v>
      </c>
      <c r="B129" s="130"/>
      <c r="C129" s="129">
        <v>1</v>
      </c>
      <c r="D129" s="1" t="s">
        <v>1406</v>
      </c>
      <c r="E129" s="301">
        <f>I129+G129+K129</f>
        <v>4711</v>
      </c>
      <c r="F129" s="301">
        <f>J129+H129+L129</f>
        <v>4711</v>
      </c>
      <c r="G129" s="301">
        <f>중기단위당!H32</f>
        <v>2463</v>
      </c>
      <c r="H129" s="301">
        <f>TRUNC($C129*G129,1)</f>
        <v>2463</v>
      </c>
      <c r="I129" s="301">
        <f>중기단위당!I32</f>
        <v>1447</v>
      </c>
      <c r="J129" s="301">
        <f>TRUNC($C129*I129,1)</f>
        <v>1447</v>
      </c>
      <c r="K129" s="301">
        <f>중기단위당!J32</f>
        <v>801</v>
      </c>
      <c r="L129" s="301">
        <f>TRUNC($C129*K129,1)</f>
        <v>801</v>
      </c>
    </row>
    <row r="130" spans="1:12" ht="15" customHeight="1">
      <c r="A130" s="129" t="s">
        <v>617</v>
      </c>
      <c r="B130" s="130"/>
      <c r="C130" s="129"/>
      <c r="D130" s="1"/>
      <c r="E130" s="301"/>
      <c r="F130" s="301">
        <f>H130+J130+L130</f>
        <v>6183</v>
      </c>
      <c r="G130" s="301"/>
      <c r="H130" s="301">
        <f>SUM(H128:H129)</f>
        <v>3303</v>
      </c>
      <c r="I130" s="301"/>
      <c r="J130" s="301">
        <f>SUM(J128:J129)</f>
        <v>1765</v>
      </c>
      <c r="K130" s="301"/>
      <c r="L130" s="301">
        <f>SUM(L128:L129)</f>
        <v>1115</v>
      </c>
    </row>
    <row r="131" spans="1:12" ht="15" customHeight="1">
      <c r="A131" s="209"/>
      <c r="B131" s="210"/>
      <c r="C131" s="95"/>
      <c r="D131" s="211"/>
      <c r="E131" s="212">
        <f>E127+1</f>
        <v>26</v>
      </c>
      <c r="F131" s="297" t="s">
        <v>926</v>
      </c>
      <c r="G131" s="95"/>
      <c r="H131" s="298"/>
      <c r="I131" s="299"/>
      <c r="J131" s="298" t="s">
        <v>1071</v>
      </c>
      <c r="K131" s="299"/>
      <c r="L131" s="300"/>
    </row>
    <row r="132" spans="1:12" ht="15" customHeight="1">
      <c r="A132" s="130" t="s">
        <v>927</v>
      </c>
      <c r="B132" s="130" t="s">
        <v>928</v>
      </c>
      <c r="C132" s="129">
        <v>1.26</v>
      </c>
      <c r="D132" s="1" t="s">
        <v>640</v>
      </c>
      <c r="E132" s="91">
        <f t="shared" ref="E132:E137" si="21">G132+I132+K132</f>
        <v>4140</v>
      </c>
      <c r="F132" s="91">
        <f t="shared" ref="F132:F137" si="22">H132+J132+L132</f>
        <v>5216</v>
      </c>
      <c r="G132" s="91">
        <v>0</v>
      </c>
      <c r="H132" s="91">
        <f t="shared" ref="H132:H137" si="23">INT(C132*G132)</f>
        <v>0</v>
      </c>
      <c r="I132" s="91">
        <f>자재!F189</f>
        <v>4140</v>
      </c>
      <c r="J132" s="91">
        <f t="shared" ref="J132:J137" si="24">INT(C132*I132)</f>
        <v>5216</v>
      </c>
      <c r="K132" s="91">
        <v>0</v>
      </c>
      <c r="L132" s="91">
        <f t="shared" ref="L132:L137" si="25">INT(C132*K132)</f>
        <v>0</v>
      </c>
    </row>
    <row r="133" spans="1:12" ht="15" customHeight="1">
      <c r="A133" s="130" t="s">
        <v>927</v>
      </c>
      <c r="B133" s="130" t="s">
        <v>929</v>
      </c>
      <c r="C133" s="129">
        <v>2.1</v>
      </c>
      <c r="D133" s="1" t="s">
        <v>640</v>
      </c>
      <c r="E133" s="91">
        <f t="shared" si="21"/>
        <v>5170</v>
      </c>
      <c r="F133" s="91">
        <f t="shared" si="22"/>
        <v>10857</v>
      </c>
      <c r="G133" s="91">
        <v>0</v>
      </c>
      <c r="H133" s="91">
        <f t="shared" si="23"/>
        <v>0</v>
      </c>
      <c r="I133" s="91">
        <f>자재!F190</f>
        <v>5170</v>
      </c>
      <c r="J133" s="91">
        <f t="shared" si="24"/>
        <v>10857</v>
      </c>
      <c r="K133" s="91">
        <v>0</v>
      </c>
      <c r="L133" s="91">
        <f t="shared" si="25"/>
        <v>0</v>
      </c>
    </row>
    <row r="134" spans="1:12" ht="15" customHeight="1">
      <c r="A134" s="130" t="s">
        <v>930</v>
      </c>
      <c r="B134" s="130" t="s">
        <v>931</v>
      </c>
      <c r="C134" s="134">
        <v>2.09</v>
      </c>
      <c r="D134" s="1" t="s">
        <v>613</v>
      </c>
      <c r="E134" s="91">
        <f t="shared" si="21"/>
        <v>850</v>
      </c>
      <c r="F134" s="91">
        <f t="shared" si="22"/>
        <v>1776</v>
      </c>
      <c r="G134" s="91">
        <f>기초일람!F95</f>
        <v>0</v>
      </c>
      <c r="H134" s="91">
        <f t="shared" si="23"/>
        <v>0</v>
      </c>
      <c r="I134" s="91">
        <f>자재!F117</f>
        <v>850</v>
      </c>
      <c r="J134" s="91">
        <f t="shared" si="24"/>
        <v>1776</v>
      </c>
      <c r="K134" s="91">
        <f>기초일람!H95</f>
        <v>0</v>
      </c>
      <c r="L134" s="91">
        <f t="shared" si="25"/>
        <v>0</v>
      </c>
    </row>
    <row r="135" spans="1:12" ht="15" customHeight="1">
      <c r="A135" s="130" t="s">
        <v>932</v>
      </c>
      <c r="B135" s="304"/>
      <c r="C135" s="129">
        <v>2</v>
      </c>
      <c r="D135" s="1" t="s">
        <v>935</v>
      </c>
      <c r="E135" s="91">
        <f t="shared" si="21"/>
        <v>1694</v>
      </c>
      <c r="F135" s="91">
        <f t="shared" si="22"/>
        <v>3388</v>
      </c>
      <c r="G135" s="91">
        <v>0</v>
      </c>
      <c r="H135" s="91">
        <f t="shared" si="23"/>
        <v>0</v>
      </c>
      <c r="I135" s="91">
        <f>자재!F196</f>
        <v>1694</v>
      </c>
      <c r="J135" s="91">
        <f t="shared" si="24"/>
        <v>3388</v>
      </c>
      <c r="K135" s="91">
        <v>0</v>
      </c>
      <c r="L135" s="91">
        <f t="shared" si="25"/>
        <v>0</v>
      </c>
    </row>
    <row r="136" spans="1:12" ht="15" customHeight="1">
      <c r="A136" s="130" t="s">
        <v>933</v>
      </c>
      <c r="B136" s="304"/>
      <c r="C136" s="129">
        <v>0.245</v>
      </c>
      <c r="D136" s="1" t="s">
        <v>613</v>
      </c>
      <c r="E136" s="91">
        <f t="shared" si="21"/>
        <v>-2000</v>
      </c>
      <c r="F136" s="91">
        <f t="shared" si="22"/>
        <v>-490</v>
      </c>
      <c r="G136" s="91">
        <f>기초일람!F117</f>
        <v>0</v>
      </c>
      <c r="H136" s="91">
        <f t="shared" si="23"/>
        <v>0</v>
      </c>
      <c r="I136" s="91">
        <f>자재!F194</f>
        <v>-2000</v>
      </c>
      <c r="J136" s="91">
        <f t="shared" si="24"/>
        <v>-490</v>
      </c>
      <c r="K136" s="91">
        <f>기초일람!H117</f>
        <v>0</v>
      </c>
      <c r="L136" s="91">
        <f t="shared" si="25"/>
        <v>0</v>
      </c>
    </row>
    <row r="137" spans="1:12" ht="15" customHeight="1">
      <c r="A137" s="130" t="s">
        <v>934</v>
      </c>
      <c r="B137" s="304"/>
      <c r="C137" s="129">
        <v>5.5999999999999999E-3</v>
      </c>
      <c r="D137" s="1" t="s">
        <v>1013</v>
      </c>
      <c r="E137" s="91">
        <f t="shared" si="21"/>
        <v>7946925</v>
      </c>
      <c r="F137" s="91">
        <f t="shared" si="22"/>
        <v>44502</v>
      </c>
      <c r="G137" s="91">
        <f>기초일람!F58</f>
        <v>7635232</v>
      </c>
      <c r="H137" s="91">
        <f t="shared" si="23"/>
        <v>42757</v>
      </c>
      <c r="I137" s="91">
        <f>기초일람!G58</f>
        <v>71269</v>
      </c>
      <c r="J137" s="91">
        <f t="shared" si="24"/>
        <v>399</v>
      </c>
      <c r="K137" s="91">
        <f>기초일람!H58</f>
        <v>240424</v>
      </c>
      <c r="L137" s="91">
        <f t="shared" si="25"/>
        <v>1346</v>
      </c>
    </row>
    <row r="138" spans="1:12" ht="15" customHeight="1">
      <c r="A138" s="129" t="s">
        <v>617</v>
      </c>
      <c r="B138" s="126"/>
      <c r="C138" s="129"/>
      <c r="D138" s="1"/>
      <c r="E138" s="301"/>
      <c r="F138" s="301">
        <f>H138+J138+L138</f>
        <v>65249</v>
      </c>
      <c r="G138" s="301"/>
      <c r="H138" s="301">
        <f>SUM(H132:H137)</f>
        <v>42757</v>
      </c>
      <c r="I138" s="301"/>
      <c r="J138" s="301">
        <f>SUM(J132:J137)</f>
        <v>21146</v>
      </c>
      <c r="K138" s="301"/>
      <c r="L138" s="301">
        <f>SUM(L132:L137)</f>
        <v>1346</v>
      </c>
    </row>
    <row r="139" spans="1:12" ht="15" customHeight="1">
      <c r="A139" s="209"/>
      <c r="B139" s="210"/>
      <c r="C139" s="95"/>
      <c r="D139" s="211"/>
      <c r="E139" s="212">
        <f>E131+1</f>
        <v>27</v>
      </c>
      <c r="F139" s="297" t="s">
        <v>937</v>
      </c>
      <c r="G139" s="95"/>
      <c r="H139" s="298"/>
      <c r="I139" s="299"/>
      <c r="J139" s="298" t="s">
        <v>942</v>
      </c>
      <c r="K139" s="299"/>
      <c r="L139" s="300"/>
    </row>
    <row r="140" spans="1:12" ht="15" customHeight="1">
      <c r="A140" s="130" t="s">
        <v>938</v>
      </c>
      <c r="B140" s="130"/>
      <c r="C140" s="129">
        <v>2.1000000000000001E-2</v>
      </c>
      <c r="D140" s="1" t="s">
        <v>1406</v>
      </c>
      <c r="E140" s="91">
        <f t="shared" ref="E140:F142" si="26">G140+I140+K140</f>
        <v>330660</v>
      </c>
      <c r="F140" s="91">
        <f t="shared" si="26"/>
        <v>6943</v>
      </c>
      <c r="G140" s="91">
        <f>기초일람!F36</f>
        <v>258721</v>
      </c>
      <c r="H140" s="91">
        <f>INT(C140*G140)</f>
        <v>5433</v>
      </c>
      <c r="I140" s="91">
        <f>기초일람!G36</f>
        <v>64435</v>
      </c>
      <c r="J140" s="91">
        <f>INT(C140*I140)</f>
        <v>1353</v>
      </c>
      <c r="K140" s="91">
        <f>기초일람!H36</f>
        <v>7504</v>
      </c>
      <c r="L140" s="91">
        <f>INT(C140*K140)</f>
        <v>157</v>
      </c>
    </row>
    <row r="141" spans="1:12" ht="15" customHeight="1">
      <c r="A141" s="130" t="s">
        <v>939</v>
      </c>
      <c r="B141" s="130"/>
      <c r="C141" s="129">
        <v>0.09</v>
      </c>
      <c r="D141" s="1" t="s">
        <v>941</v>
      </c>
      <c r="E141" s="91">
        <f t="shared" si="26"/>
        <v>272354</v>
      </c>
      <c r="F141" s="91">
        <f t="shared" si="26"/>
        <v>24511</v>
      </c>
      <c r="G141" s="91">
        <v>0</v>
      </c>
      <c r="H141" s="91">
        <f>INT(C141*G141)</f>
        <v>0</v>
      </c>
      <c r="I141" s="91">
        <f>노임!B13</f>
        <v>272354</v>
      </c>
      <c r="J141" s="91">
        <f>INT(C141*I141)</f>
        <v>24511</v>
      </c>
      <c r="K141" s="91">
        <v>0</v>
      </c>
      <c r="L141" s="91">
        <f>INT(C141*K141)</f>
        <v>0</v>
      </c>
    </row>
    <row r="142" spans="1:12" ht="15" customHeight="1">
      <c r="A142" s="130" t="s">
        <v>940</v>
      </c>
      <c r="B142" s="130"/>
      <c r="C142" s="134">
        <v>5.2499999999999998E-2</v>
      </c>
      <c r="D142" s="1" t="s">
        <v>941</v>
      </c>
      <c r="E142" s="91">
        <f t="shared" si="26"/>
        <v>172068</v>
      </c>
      <c r="F142" s="91">
        <f t="shared" si="26"/>
        <v>9033</v>
      </c>
      <c r="G142" s="91">
        <f>기초일람!F103</f>
        <v>0</v>
      </c>
      <c r="H142" s="91">
        <f>INT(C142*G142)</f>
        <v>0</v>
      </c>
      <c r="I142" s="91">
        <f>노임!D14</f>
        <v>172068</v>
      </c>
      <c r="J142" s="91">
        <f>INT(C142*I142)</f>
        <v>9033</v>
      </c>
      <c r="K142" s="91">
        <f>기초일람!H103</f>
        <v>0</v>
      </c>
      <c r="L142" s="91">
        <f>INT(C142*K142)</f>
        <v>0</v>
      </c>
    </row>
    <row r="143" spans="1:12" ht="15" customHeight="1">
      <c r="A143" s="129" t="s">
        <v>617</v>
      </c>
      <c r="B143" s="126"/>
      <c r="C143" s="129"/>
      <c r="D143" s="1"/>
      <c r="E143" s="301"/>
      <c r="F143" s="301">
        <f>H143+J143+L143</f>
        <v>40487</v>
      </c>
      <c r="G143" s="301"/>
      <c r="H143" s="301">
        <f>SUM(H140:H142)</f>
        <v>5433</v>
      </c>
      <c r="I143" s="301"/>
      <c r="J143" s="301">
        <f>SUM(J140:J142)</f>
        <v>34897</v>
      </c>
      <c r="K143" s="301"/>
      <c r="L143" s="301">
        <f>SUM(L140:L142)</f>
        <v>157</v>
      </c>
    </row>
    <row r="144" spans="1:12" ht="15" customHeight="1">
      <c r="A144" s="209"/>
      <c r="B144" s="210"/>
      <c r="C144" s="95"/>
      <c r="D144" s="211"/>
      <c r="E144" s="212">
        <f>E139+1</f>
        <v>28</v>
      </c>
      <c r="F144" s="297" t="s">
        <v>443</v>
      </c>
      <c r="G144" s="95"/>
      <c r="H144" s="298"/>
      <c r="I144" s="299"/>
      <c r="J144" s="298" t="s">
        <v>942</v>
      </c>
      <c r="K144" s="299"/>
      <c r="L144" s="300"/>
    </row>
    <row r="145" spans="1:12" ht="15" customHeight="1">
      <c r="A145" s="130" t="s">
        <v>421</v>
      </c>
      <c r="B145" s="130"/>
      <c r="C145" s="129">
        <v>1</v>
      </c>
      <c r="D145" s="1" t="s">
        <v>250</v>
      </c>
      <c r="E145" s="91">
        <f t="shared" ref="E145:F147" si="27">G145+I145+K145</f>
        <v>33428</v>
      </c>
      <c r="F145" s="91">
        <f t="shared" si="27"/>
        <v>33428</v>
      </c>
      <c r="G145" s="91">
        <f>기초내역!H338</f>
        <v>32455</v>
      </c>
      <c r="H145" s="91">
        <f>INT(C145*G145)</f>
        <v>32455</v>
      </c>
      <c r="I145" s="91">
        <f>기초내역!J338</f>
        <v>0</v>
      </c>
      <c r="J145" s="91">
        <f>INT(C145*I145)</f>
        <v>0</v>
      </c>
      <c r="K145" s="91">
        <f>기초내역!L338</f>
        <v>973</v>
      </c>
      <c r="L145" s="91">
        <f>INT(C145*K145)</f>
        <v>973</v>
      </c>
    </row>
    <row r="146" spans="1:12" ht="15" customHeight="1">
      <c r="A146" s="130" t="s">
        <v>444</v>
      </c>
      <c r="B146" s="130"/>
      <c r="C146" s="129">
        <v>1</v>
      </c>
      <c r="D146" s="1" t="s">
        <v>250</v>
      </c>
      <c r="E146" s="91">
        <f t="shared" si="27"/>
        <v>2712</v>
      </c>
      <c r="F146" s="91">
        <f t="shared" si="27"/>
        <v>2712</v>
      </c>
      <c r="G146" s="91">
        <f>기초일람!F60</f>
        <v>0</v>
      </c>
      <c r="H146" s="91">
        <f>INT(C146*G146)</f>
        <v>0</v>
      </c>
      <c r="I146" s="91">
        <f>기초일람!G60</f>
        <v>2712</v>
      </c>
      <c r="J146" s="91">
        <f>INT(C146*I146)</f>
        <v>2712</v>
      </c>
      <c r="K146" s="91">
        <f>기초일람!H60</f>
        <v>0</v>
      </c>
      <c r="L146" s="91">
        <f>INT(C146*K146)</f>
        <v>0</v>
      </c>
    </row>
    <row r="147" spans="1:12" ht="15" customHeight="1">
      <c r="A147" s="130" t="s">
        <v>445</v>
      </c>
      <c r="B147" s="130"/>
      <c r="C147" s="134">
        <v>2.7000000000000001E-3</v>
      </c>
      <c r="D147" s="1" t="s">
        <v>941</v>
      </c>
      <c r="E147" s="91">
        <f t="shared" si="27"/>
        <v>30261</v>
      </c>
      <c r="F147" s="91">
        <f t="shared" si="27"/>
        <v>81</v>
      </c>
      <c r="G147" s="91">
        <f>기초일람!F108</f>
        <v>0</v>
      </c>
      <c r="H147" s="91">
        <f>INT(C147*G147)</f>
        <v>0</v>
      </c>
      <c r="I147" s="91">
        <f>노임!D19</f>
        <v>0</v>
      </c>
      <c r="J147" s="91">
        <f>INT(C147*I147)</f>
        <v>0</v>
      </c>
      <c r="K147" s="91">
        <v>30261</v>
      </c>
      <c r="L147" s="91">
        <f>INT(C147*K147)</f>
        <v>81</v>
      </c>
    </row>
    <row r="148" spans="1:12" ht="15" customHeight="1">
      <c r="A148" s="129" t="s">
        <v>617</v>
      </c>
      <c r="B148" s="126"/>
      <c r="C148" s="129"/>
      <c r="D148" s="1"/>
      <c r="E148" s="301"/>
      <c r="F148" s="301">
        <f>H148+J148+L148</f>
        <v>36221</v>
      </c>
      <c r="G148" s="301"/>
      <c r="H148" s="301">
        <f>SUM(H145:H147)</f>
        <v>32455</v>
      </c>
      <c r="I148" s="301"/>
      <c r="J148" s="301">
        <f>SUM(J145:J147)</f>
        <v>2712</v>
      </c>
      <c r="K148" s="301"/>
      <c r="L148" s="301">
        <f>SUM(L145:L147)</f>
        <v>1054</v>
      </c>
    </row>
    <row r="149" spans="1:12" ht="15" customHeight="1">
      <c r="A149" s="209"/>
      <c r="B149" s="210"/>
      <c r="C149" s="95"/>
      <c r="D149" s="211"/>
      <c r="E149" s="212">
        <f>E144+1</f>
        <v>29</v>
      </c>
      <c r="F149" s="297" t="str">
        <f>기초일람!B62</f>
        <v xml:space="preserve">레미콘 : 무근(인력)  </v>
      </c>
      <c r="G149" s="95"/>
      <c r="H149" s="298"/>
      <c r="I149" s="299"/>
      <c r="J149" s="298" t="s">
        <v>1053</v>
      </c>
      <c r="K149" s="299"/>
      <c r="L149" s="300"/>
    </row>
    <row r="150" spans="1:12" ht="15" customHeight="1">
      <c r="A150" s="130" t="s">
        <v>34</v>
      </c>
      <c r="B150" s="130" t="s">
        <v>29</v>
      </c>
      <c r="C150" s="129">
        <v>1</v>
      </c>
      <c r="D150" s="1" t="s">
        <v>1406</v>
      </c>
      <c r="E150" s="91">
        <f>G150+I150+K150</f>
        <v>58020</v>
      </c>
      <c r="F150" s="91">
        <f>H150+J150+L150</f>
        <v>58020</v>
      </c>
      <c r="G150" s="91">
        <f>기초일람!F62</f>
        <v>57773</v>
      </c>
      <c r="H150" s="91">
        <f>INT(C150*G150)</f>
        <v>57773</v>
      </c>
      <c r="I150" s="91">
        <f>기초일람!G62</f>
        <v>233</v>
      </c>
      <c r="J150" s="91">
        <f>INT(C150*I150)</f>
        <v>233</v>
      </c>
      <c r="K150" s="91">
        <f>기초일람!H62</f>
        <v>14</v>
      </c>
      <c r="L150" s="91">
        <f>INT(C150*K150)</f>
        <v>14</v>
      </c>
    </row>
    <row r="151" spans="1:12" ht="15" customHeight="1">
      <c r="A151" s="130" t="s">
        <v>35</v>
      </c>
      <c r="B151" s="130" t="s">
        <v>36</v>
      </c>
      <c r="C151" s="134"/>
      <c r="D151" s="1"/>
      <c r="E151" s="91">
        <f>G151+I151+K151</f>
        <v>0</v>
      </c>
      <c r="F151" s="91">
        <f>H151+J151+L151</f>
        <v>0</v>
      </c>
      <c r="G151" s="91"/>
      <c r="H151" s="91">
        <f>INT(C151*G151)</f>
        <v>0</v>
      </c>
      <c r="I151" s="91"/>
      <c r="J151" s="91">
        <f>INT(C151*I151)</f>
        <v>0</v>
      </c>
      <c r="K151" s="91"/>
      <c r="L151" s="91">
        <f>INT(C151*K151)</f>
        <v>0</v>
      </c>
    </row>
    <row r="152" spans="1:12" ht="15" customHeight="1">
      <c r="A152" s="129" t="s">
        <v>617</v>
      </c>
      <c r="B152" s="126"/>
      <c r="C152" s="129"/>
      <c r="D152" s="1"/>
      <c r="E152" s="301"/>
      <c r="F152" s="301">
        <f>H152+J152+L152</f>
        <v>58020</v>
      </c>
      <c r="G152" s="301"/>
      <c r="H152" s="301">
        <f>SUM(H150:H151)</f>
        <v>57773</v>
      </c>
      <c r="I152" s="301"/>
      <c r="J152" s="301">
        <f>SUM(J150:J151)</f>
        <v>233</v>
      </c>
      <c r="K152" s="301"/>
      <c r="L152" s="301">
        <f>SUM(L150:L151)</f>
        <v>14</v>
      </c>
    </row>
    <row r="153" spans="1:12" ht="15" customHeight="1">
      <c r="A153" s="209"/>
      <c r="B153" s="210"/>
      <c r="C153" s="95"/>
      <c r="D153" s="211"/>
      <c r="E153" s="212">
        <f>E149+1</f>
        <v>30</v>
      </c>
      <c r="F153" s="297" t="str">
        <f>기초일람!B63</f>
        <v xml:space="preserve">레미콘 : 소형(인력)  </v>
      </c>
      <c r="G153" s="95"/>
      <c r="H153" s="298"/>
      <c r="I153" s="299"/>
      <c r="J153" s="298" t="s">
        <v>1053</v>
      </c>
      <c r="K153" s="299"/>
      <c r="L153" s="300"/>
    </row>
    <row r="154" spans="1:12" ht="15" customHeight="1">
      <c r="A154" s="130" t="s">
        <v>34</v>
      </c>
      <c r="B154" s="130" t="s">
        <v>29</v>
      </c>
      <c r="C154" s="129">
        <v>1</v>
      </c>
      <c r="D154" s="1" t="s">
        <v>31</v>
      </c>
      <c r="E154" s="91">
        <f>G154+I154+K154</f>
        <v>116041</v>
      </c>
      <c r="F154" s="91">
        <f>H154+J154+L154</f>
        <v>116041</v>
      </c>
      <c r="G154" s="91">
        <f>기초일람!F63</f>
        <v>115546</v>
      </c>
      <c r="H154" s="91">
        <f>INT(C154*G154)</f>
        <v>115546</v>
      </c>
      <c r="I154" s="91">
        <f>기초일람!G63</f>
        <v>466</v>
      </c>
      <c r="J154" s="91">
        <f>INT(C154*I154)</f>
        <v>466</v>
      </c>
      <c r="K154" s="91">
        <f>기초일람!H63</f>
        <v>29</v>
      </c>
      <c r="L154" s="91">
        <f>INT(C154*K154)</f>
        <v>29</v>
      </c>
    </row>
    <row r="155" spans="1:12" ht="15" customHeight="1">
      <c r="A155" s="130" t="s">
        <v>35</v>
      </c>
      <c r="B155" s="130" t="s">
        <v>36</v>
      </c>
      <c r="C155" s="134"/>
      <c r="D155" s="1"/>
      <c r="E155" s="91">
        <f>G155+I155+K155</f>
        <v>0</v>
      </c>
      <c r="F155" s="91">
        <f>H155+J155+L155</f>
        <v>0</v>
      </c>
      <c r="G155" s="91"/>
      <c r="H155" s="91">
        <f>INT(C155*G155)</f>
        <v>0</v>
      </c>
      <c r="I155" s="91"/>
      <c r="J155" s="91">
        <f>INT(C155*I155)</f>
        <v>0</v>
      </c>
      <c r="K155" s="91"/>
      <c r="L155" s="91">
        <f>INT(C155*K155)</f>
        <v>0</v>
      </c>
    </row>
    <row r="156" spans="1:12" ht="15" customHeight="1">
      <c r="A156" s="129" t="s">
        <v>617</v>
      </c>
      <c r="B156" s="126"/>
      <c r="C156" s="129"/>
      <c r="D156" s="1"/>
      <c r="E156" s="301"/>
      <c r="F156" s="301">
        <f>H156+J156+L156</f>
        <v>116041</v>
      </c>
      <c r="G156" s="301"/>
      <c r="H156" s="301">
        <f>SUM(H154:H155)</f>
        <v>115546</v>
      </c>
      <c r="I156" s="301"/>
      <c r="J156" s="301">
        <f>SUM(J154:J155)</f>
        <v>466</v>
      </c>
      <c r="K156" s="301"/>
      <c r="L156" s="301">
        <f>SUM(L154:L155)</f>
        <v>29</v>
      </c>
    </row>
    <row r="157" spans="1:12" ht="15" customHeight="1">
      <c r="A157" s="209"/>
      <c r="B157" s="210"/>
      <c r="C157" s="95"/>
      <c r="D157" s="211"/>
      <c r="E157" s="212">
        <f>E153+1</f>
        <v>31</v>
      </c>
      <c r="F157" s="297" t="s">
        <v>33</v>
      </c>
      <c r="G157" s="95"/>
      <c r="H157" s="298"/>
      <c r="I157" s="299"/>
      <c r="J157" s="298" t="s">
        <v>1053</v>
      </c>
      <c r="K157" s="299"/>
      <c r="L157" s="300"/>
    </row>
    <row r="158" spans="1:12" ht="15" customHeight="1">
      <c r="A158" s="130" t="s">
        <v>944</v>
      </c>
      <c r="B158" s="130" t="s">
        <v>1713</v>
      </c>
      <c r="C158" s="129">
        <v>1</v>
      </c>
      <c r="D158" s="1" t="s">
        <v>1406</v>
      </c>
      <c r="E158" s="91">
        <f>G158+I158+K158</f>
        <v>32335</v>
      </c>
      <c r="F158" s="91">
        <f>H158+J158+L158</f>
        <v>32335</v>
      </c>
      <c r="G158" s="91">
        <f>기초일람!F37</f>
        <v>27793</v>
      </c>
      <c r="H158" s="91">
        <f>INT(C158*G158)</f>
        <v>27793</v>
      </c>
      <c r="I158" s="91">
        <f>기초일람!G37</f>
        <v>2395</v>
      </c>
      <c r="J158" s="91">
        <f>INT(C158*I158)</f>
        <v>2395</v>
      </c>
      <c r="K158" s="91">
        <f>기초일람!H37</f>
        <v>2147</v>
      </c>
      <c r="L158" s="91">
        <f>INT(C158*K158)</f>
        <v>2147</v>
      </c>
    </row>
    <row r="159" spans="1:12" ht="15" customHeight="1">
      <c r="A159" s="130" t="s">
        <v>35</v>
      </c>
      <c r="B159" s="130" t="s">
        <v>36</v>
      </c>
      <c r="C159" s="134"/>
      <c r="D159" s="1"/>
      <c r="E159" s="91">
        <f>G159+I159+K159</f>
        <v>0</v>
      </c>
      <c r="F159" s="91">
        <f>H159+J159+L159</f>
        <v>0</v>
      </c>
      <c r="G159" s="91"/>
      <c r="H159" s="91">
        <f>INT(C159*G159)</f>
        <v>0</v>
      </c>
      <c r="I159" s="91"/>
      <c r="J159" s="91">
        <f>INT(C159*I159)</f>
        <v>0</v>
      </c>
      <c r="K159" s="91"/>
      <c r="L159" s="91">
        <f>INT(C159*K159)</f>
        <v>0</v>
      </c>
    </row>
    <row r="160" spans="1:12" ht="15" customHeight="1">
      <c r="A160" s="129" t="s">
        <v>617</v>
      </c>
      <c r="B160" s="126"/>
      <c r="C160" s="129"/>
      <c r="D160" s="1"/>
      <c r="E160" s="301"/>
      <c r="F160" s="301">
        <f>H160+J160+L160</f>
        <v>32335</v>
      </c>
      <c r="G160" s="301"/>
      <c r="H160" s="301">
        <f>SUM(H158:H159)</f>
        <v>27793</v>
      </c>
      <c r="I160" s="301"/>
      <c r="J160" s="301">
        <f>SUM(J158:J159)</f>
        <v>2395</v>
      </c>
      <c r="K160" s="301"/>
      <c r="L160" s="301">
        <f>SUM(L158:L159)</f>
        <v>2147</v>
      </c>
    </row>
    <row r="161" spans="1:12" ht="15" customHeight="1">
      <c r="A161" s="209"/>
      <c r="B161" s="210"/>
      <c r="C161" s="95"/>
      <c r="D161" s="211"/>
      <c r="E161" s="212">
        <f>E157+1</f>
        <v>32</v>
      </c>
      <c r="F161" s="297" t="s">
        <v>1557</v>
      </c>
      <c r="G161" s="95"/>
      <c r="H161" s="298"/>
      <c r="I161" s="299"/>
      <c r="J161" s="298" t="s">
        <v>1053</v>
      </c>
      <c r="K161" s="299"/>
      <c r="L161" s="300"/>
    </row>
    <row r="162" spans="1:12" ht="15" customHeight="1">
      <c r="A162" s="130" t="s">
        <v>944</v>
      </c>
      <c r="B162" s="130" t="s">
        <v>1558</v>
      </c>
      <c r="C162" s="129">
        <v>1</v>
      </c>
      <c r="D162" s="1" t="s">
        <v>1406</v>
      </c>
      <c r="E162" s="91">
        <f t="shared" ref="E162:F164" si="28">G162+I162+K162</f>
        <v>58669</v>
      </c>
      <c r="F162" s="91">
        <f t="shared" si="28"/>
        <v>58669</v>
      </c>
      <c r="G162" s="91">
        <f>기초일람!F39</f>
        <v>45106</v>
      </c>
      <c r="H162" s="91">
        <f>INT(C162*G162)</f>
        <v>45106</v>
      </c>
      <c r="I162" s="91">
        <f>기초일람!G39</f>
        <v>6937</v>
      </c>
      <c r="J162" s="91">
        <f>INT(C162*I162)</f>
        <v>6937</v>
      </c>
      <c r="K162" s="91">
        <f>기초일람!H39</f>
        <v>6626</v>
      </c>
      <c r="L162" s="91">
        <f>INT(C162*K162)</f>
        <v>6626</v>
      </c>
    </row>
    <row r="163" spans="1:12" ht="15" customHeight="1">
      <c r="A163" s="130" t="s">
        <v>35</v>
      </c>
      <c r="B163" s="130" t="s">
        <v>36</v>
      </c>
      <c r="C163" s="134">
        <v>1</v>
      </c>
      <c r="D163" s="1" t="s">
        <v>31</v>
      </c>
      <c r="E163" s="91">
        <f t="shared" si="28"/>
        <v>0</v>
      </c>
      <c r="F163" s="91">
        <f t="shared" si="28"/>
        <v>0</v>
      </c>
      <c r="G163" s="91"/>
      <c r="H163" s="91">
        <f>INT(C163*G163)</f>
        <v>0</v>
      </c>
      <c r="I163" s="91"/>
      <c r="J163" s="91">
        <f>INT(C163*I163)</f>
        <v>0</v>
      </c>
      <c r="K163" s="91"/>
      <c r="L163" s="91">
        <f>INT(C163*K163)</f>
        <v>0</v>
      </c>
    </row>
    <row r="164" spans="1:12" ht="15" customHeight="1">
      <c r="A164" s="130" t="s">
        <v>2529</v>
      </c>
      <c r="B164" s="130" t="s">
        <v>2530</v>
      </c>
      <c r="C164" s="134">
        <v>1</v>
      </c>
      <c r="D164" s="1" t="s">
        <v>31</v>
      </c>
      <c r="E164" s="91">
        <f t="shared" si="28"/>
        <v>105840</v>
      </c>
      <c r="F164" s="91">
        <f t="shared" si="28"/>
        <v>105840</v>
      </c>
      <c r="G164" s="91">
        <v>0</v>
      </c>
      <c r="H164" s="91">
        <f>INT(C164*G164)</f>
        <v>0</v>
      </c>
      <c r="I164" s="91">
        <f>자재!F209</f>
        <v>105840</v>
      </c>
      <c r="J164" s="91">
        <f>INT(C164*I164)</f>
        <v>105840</v>
      </c>
      <c r="K164" s="91">
        <f>기초일람!H41</f>
        <v>0</v>
      </c>
      <c r="L164" s="91">
        <f>INT(C164*K164)</f>
        <v>0</v>
      </c>
    </row>
    <row r="165" spans="1:12" ht="15" customHeight="1">
      <c r="A165" s="129" t="s">
        <v>617</v>
      </c>
      <c r="B165" s="126"/>
      <c r="C165" s="129"/>
      <c r="D165" s="1"/>
      <c r="E165" s="301"/>
      <c r="F165" s="301">
        <f>H165+J165+L165</f>
        <v>164509</v>
      </c>
      <c r="G165" s="301"/>
      <c r="H165" s="301">
        <f>SUM(H162:H164)</f>
        <v>45106</v>
      </c>
      <c r="I165" s="301"/>
      <c r="J165" s="301">
        <f>SUM(J162:J164)</f>
        <v>112777</v>
      </c>
      <c r="K165" s="301"/>
      <c r="L165" s="301">
        <f>SUM(L162:L164)</f>
        <v>6626</v>
      </c>
    </row>
    <row r="166" spans="1:12" ht="15" customHeight="1">
      <c r="A166" s="209"/>
      <c r="B166" s="210"/>
      <c r="C166" s="95"/>
      <c r="D166" s="211"/>
      <c r="E166" s="212">
        <f>E161+1</f>
        <v>33</v>
      </c>
      <c r="F166" s="297" t="s">
        <v>943</v>
      </c>
      <c r="G166" s="95"/>
      <c r="H166" s="298"/>
      <c r="I166" s="299"/>
      <c r="J166" s="298" t="s">
        <v>1053</v>
      </c>
      <c r="K166" s="299"/>
      <c r="L166" s="300"/>
    </row>
    <row r="167" spans="1:12" ht="15" customHeight="1">
      <c r="A167" s="130" t="s">
        <v>944</v>
      </c>
      <c r="B167" s="130" t="s">
        <v>1714</v>
      </c>
      <c r="C167" s="129">
        <v>1</v>
      </c>
      <c r="D167" s="1" t="s">
        <v>1406</v>
      </c>
      <c r="E167" s="91">
        <f>G167+I167+K167</f>
        <v>32335</v>
      </c>
      <c r="F167" s="91">
        <f>H167+J167+L167</f>
        <v>32335</v>
      </c>
      <c r="G167" s="91">
        <f>G158</f>
        <v>27793</v>
      </c>
      <c r="H167" s="91">
        <f>INT(C167*G167)</f>
        <v>27793</v>
      </c>
      <c r="I167" s="91">
        <f>I158</f>
        <v>2395</v>
      </c>
      <c r="J167" s="91">
        <f>INT(C167*I167)</f>
        <v>2395</v>
      </c>
      <c r="K167" s="91">
        <f>K158</f>
        <v>2147</v>
      </c>
      <c r="L167" s="91">
        <f>INT(C167*K167)</f>
        <v>2147</v>
      </c>
    </row>
    <row r="168" spans="1:12" ht="15" customHeight="1">
      <c r="A168" s="130" t="s">
        <v>35</v>
      </c>
      <c r="B168" s="130" t="s">
        <v>36</v>
      </c>
      <c r="C168" s="134"/>
      <c r="D168" s="1"/>
      <c r="E168" s="91">
        <f>G168+I168+K168</f>
        <v>0</v>
      </c>
      <c r="F168" s="91">
        <f>H168+J168+L168</f>
        <v>0</v>
      </c>
      <c r="G168" s="91"/>
      <c r="H168" s="91">
        <f>INT(C168*G168)</f>
        <v>0</v>
      </c>
      <c r="I168" s="91"/>
      <c r="J168" s="91">
        <f>INT(C168*I168)</f>
        <v>0</v>
      </c>
      <c r="K168" s="91"/>
      <c r="L168" s="91">
        <f>INT(C168*K168)</f>
        <v>0</v>
      </c>
    </row>
    <row r="169" spans="1:12" ht="15" customHeight="1">
      <c r="A169" s="129" t="s">
        <v>617</v>
      </c>
      <c r="B169" s="126"/>
      <c r="C169" s="129"/>
      <c r="D169" s="1"/>
      <c r="E169" s="301"/>
      <c r="F169" s="301">
        <f>H169+J169+L169</f>
        <v>32335</v>
      </c>
      <c r="G169" s="301"/>
      <c r="H169" s="301">
        <f>SUM(H167:H168)</f>
        <v>27793</v>
      </c>
      <c r="I169" s="301"/>
      <c r="J169" s="301">
        <f>SUM(J167:J168)</f>
        <v>2395</v>
      </c>
      <c r="K169" s="301"/>
      <c r="L169" s="301">
        <f>SUM(L167:L168)</f>
        <v>2147</v>
      </c>
    </row>
    <row r="170" spans="1:12" ht="15" customHeight="1">
      <c r="A170" s="129"/>
      <c r="B170" s="126"/>
      <c r="C170" s="129"/>
      <c r="D170" s="1"/>
      <c r="E170" s="301"/>
      <c r="F170" s="301"/>
      <c r="G170" s="301"/>
      <c r="H170" s="301"/>
      <c r="I170" s="301"/>
      <c r="J170" s="301"/>
      <c r="K170" s="301"/>
      <c r="L170" s="301"/>
    </row>
    <row r="171" spans="1:12" ht="15" customHeight="1">
      <c r="A171" s="209"/>
      <c r="B171" s="210"/>
      <c r="C171" s="95"/>
      <c r="D171" s="211"/>
      <c r="E171" s="212">
        <f>E166+1</f>
        <v>34</v>
      </c>
      <c r="F171" s="297" t="s">
        <v>958</v>
      </c>
      <c r="G171" s="95"/>
      <c r="H171" s="298"/>
      <c r="I171" s="299"/>
      <c r="J171" s="298" t="s">
        <v>1053</v>
      </c>
      <c r="K171" s="299"/>
      <c r="L171" s="300"/>
    </row>
    <row r="172" spans="1:12" ht="15" customHeight="1">
      <c r="A172" s="130" t="s">
        <v>955</v>
      </c>
      <c r="B172" s="130" t="s">
        <v>1713</v>
      </c>
      <c r="C172" s="129">
        <v>0</v>
      </c>
      <c r="D172" s="1" t="s">
        <v>1406</v>
      </c>
      <c r="E172" s="91">
        <f>G172+I172+K172</f>
        <v>90872</v>
      </c>
      <c r="F172" s="91">
        <f>H172+J172+L172</f>
        <v>0</v>
      </c>
      <c r="G172" s="91"/>
      <c r="H172" s="91">
        <f>INT(C172*G172)</f>
        <v>0</v>
      </c>
      <c r="I172" s="91">
        <f>INT(자재!F208/1.1)</f>
        <v>90872</v>
      </c>
      <c r="J172" s="91">
        <f>INT(C172*I172)</f>
        <v>0</v>
      </c>
      <c r="K172" s="91"/>
      <c r="L172" s="91">
        <f>INT(C172*K172)</f>
        <v>0</v>
      </c>
    </row>
    <row r="173" spans="1:12" ht="15" customHeight="1">
      <c r="A173" s="130" t="s">
        <v>956</v>
      </c>
      <c r="B173" s="130" t="s">
        <v>957</v>
      </c>
      <c r="C173" s="134">
        <v>1</v>
      </c>
      <c r="D173" s="1" t="s">
        <v>1406</v>
      </c>
      <c r="E173" s="91">
        <f>G173+I173+K173</f>
        <v>27469</v>
      </c>
      <c r="F173" s="91">
        <f>H173+J173+L173</f>
        <v>27469</v>
      </c>
      <c r="G173" s="91">
        <f>기초일람!F66</f>
        <v>21703</v>
      </c>
      <c r="H173" s="91">
        <f>INT(C173*G173)</f>
        <v>21703</v>
      </c>
      <c r="I173" s="91">
        <f>기초일람!G66</f>
        <v>1850</v>
      </c>
      <c r="J173" s="91">
        <f>INT(C173*I173)</f>
        <v>1850</v>
      </c>
      <c r="K173" s="91">
        <f>기초일람!H66</f>
        <v>3916</v>
      </c>
      <c r="L173" s="91">
        <f>INT(C173*K173)</f>
        <v>3916</v>
      </c>
    </row>
    <row r="174" spans="1:12" ht="15" customHeight="1">
      <c r="A174" s="129" t="s">
        <v>617</v>
      </c>
      <c r="B174" s="126"/>
      <c r="C174" s="129"/>
      <c r="D174" s="1"/>
      <c r="E174" s="301"/>
      <c r="F174" s="301">
        <f>H174+J174+L174</f>
        <v>27469</v>
      </c>
      <c r="G174" s="301"/>
      <c r="H174" s="301">
        <f>SUM(H172:H173)</f>
        <v>21703</v>
      </c>
      <c r="I174" s="301"/>
      <c r="J174" s="301">
        <f>SUM(J172:J173)</f>
        <v>1850</v>
      </c>
      <c r="K174" s="301"/>
      <c r="L174" s="301">
        <f>SUM(L172:L173)</f>
        <v>3916</v>
      </c>
    </row>
    <row r="175" spans="1:12" ht="15" customHeight="1">
      <c r="A175" s="209"/>
      <c r="B175" s="210"/>
      <c r="C175" s="95"/>
      <c r="D175" s="211"/>
      <c r="E175" s="212">
        <f>E171+1</f>
        <v>35</v>
      </c>
      <c r="F175" s="297" t="s">
        <v>1844</v>
      </c>
      <c r="G175" s="95"/>
      <c r="H175" s="298"/>
      <c r="I175" s="299"/>
      <c r="J175" s="298" t="s">
        <v>1069</v>
      </c>
      <c r="K175" s="299"/>
      <c r="L175" s="300"/>
    </row>
    <row r="176" spans="1:12" ht="15" customHeight="1">
      <c r="A176" s="130" t="s">
        <v>1179</v>
      </c>
      <c r="B176" s="130"/>
      <c r="C176" s="129">
        <v>1</v>
      </c>
      <c r="D176" s="1" t="s">
        <v>635</v>
      </c>
      <c r="E176" s="91">
        <f t="shared" ref="E176:F178" si="29">G176+I176+K176</f>
        <v>16638</v>
      </c>
      <c r="F176" s="91">
        <f t="shared" si="29"/>
        <v>16638</v>
      </c>
      <c r="G176" s="91">
        <f>자재일람!F19</f>
        <v>15122</v>
      </c>
      <c r="H176" s="91">
        <f>INT(C176*G176)</f>
        <v>15122</v>
      </c>
      <c r="I176" s="91">
        <f>자재일람!G19</f>
        <v>1248</v>
      </c>
      <c r="J176" s="91">
        <f>INT(C176*I176)</f>
        <v>1248</v>
      </c>
      <c r="K176" s="91">
        <f>자재일람!H19</f>
        <v>268</v>
      </c>
      <c r="L176" s="91">
        <f>INT(C176*K176)</f>
        <v>268</v>
      </c>
    </row>
    <row r="177" spans="1:12" ht="15" customHeight="1">
      <c r="A177" s="130" t="s">
        <v>1180</v>
      </c>
      <c r="B177" s="130" t="s">
        <v>13</v>
      </c>
      <c r="C177" s="129">
        <v>1</v>
      </c>
      <c r="D177" s="1" t="s">
        <v>635</v>
      </c>
      <c r="E177" s="91">
        <f t="shared" si="29"/>
        <v>43966</v>
      </c>
      <c r="F177" s="91">
        <f t="shared" si="29"/>
        <v>43966</v>
      </c>
      <c r="G177" s="91">
        <f>기초일람!F67</f>
        <v>37156</v>
      </c>
      <c r="H177" s="91">
        <f>INT(C177*G177)</f>
        <v>37156</v>
      </c>
      <c r="I177" s="91">
        <f>기초일람!G67</f>
        <v>2191</v>
      </c>
      <c r="J177" s="91">
        <f>INT(C177*I177)</f>
        <v>2191</v>
      </c>
      <c r="K177" s="91">
        <f>기초일람!H67</f>
        <v>4619</v>
      </c>
      <c r="L177" s="91">
        <f>INT(C177*K177)</f>
        <v>4619</v>
      </c>
    </row>
    <row r="178" spans="1:12" ht="15" customHeight="1">
      <c r="A178" s="130" t="s">
        <v>12</v>
      </c>
      <c r="B178" s="130" t="s">
        <v>13</v>
      </c>
      <c r="C178" s="134">
        <v>1</v>
      </c>
      <c r="D178" s="1" t="s">
        <v>635</v>
      </c>
      <c r="E178" s="91">
        <f t="shared" si="29"/>
        <v>0</v>
      </c>
      <c r="F178" s="91">
        <f t="shared" si="29"/>
        <v>0</v>
      </c>
      <c r="G178" s="91"/>
      <c r="H178" s="91">
        <f>INT(C178*G178)</f>
        <v>0</v>
      </c>
      <c r="I178" s="91"/>
      <c r="J178" s="91">
        <f>INT(C178*I178)</f>
        <v>0</v>
      </c>
      <c r="K178" s="91"/>
      <c r="L178" s="91">
        <f>INT(C178*K178)</f>
        <v>0</v>
      </c>
    </row>
    <row r="179" spans="1:12" ht="15" customHeight="1">
      <c r="A179" s="129" t="s">
        <v>617</v>
      </c>
      <c r="B179" s="126"/>
      <c r="C179" s="129"/>
      <c r="D179" s="1"/>
      <c r="E179" s="301"/>
      <c r="F179" s="301">
        <f>H179+J179+L179</f>
        <v>60604</v>
      </c>
      <c r="G179" s="301"/>
      <c r="H179" s="301">
        <f>SUM(H176:H178)</f>
        <v>52278</v>
      </c>
      <c r="I179" s="301"/>
      <c r="J179" s="301">
        <f>SUM(J176:J178)</f>
        <v>3439</v>
      </c>
      <c r="K179" s="301"/>
      <c r="L179" s="301">
        <f>SUM(L176:L178)</f>
        <v>4887</v>
      </c>
    </row>
    <row r="180" spans="1:12" ht="15" customHeight="1">
      <c r="A180" s="209"/>
      <c r="B180" s="210"/>
      <c r="C180" s="95"/>
      <c r="D180" s="211"/>
      <c r="E180" s="212">
        <f>E175+1</f>
        <v>36</v>
      </c>
      <c r="F180" s="297" t="s">
        <v>1845</v>
      </c>
      <c r="G180" s="95"/>
      <c r="H180" s="298"/>
      <c r="I180" s="299"/>
      <c r="J180" s="298" t="s">
        <v>1069</v>
      </c>
      <c r="K180" s="299"/>
      <c r="L180" s="300"/>
    </row>
    <row r="181" spans="1:12" ht="15" customHeight="1">
      <c r="A181" s="130" t="s">
        <v>708</v>
      </c>
      <c r="B181" s="130" t="s">
        <v>707</v>
      </c>
      <c r="C181" s="129">
        <v>0.5</v>
      </c>
      <c r="D181" s="1"/>
      <c r="E181" s="91">
        <f>G181+I181+K181</f>
        <v>60604</v>
      </c>
      <c r="F181" s="91">
        <f>H181+J181+L181</f>
        <v>30301</v>
      </c>
      <c r="G181" s="91">
        <f>H179</f>
        <v>52278</v>
      </c>
      <c r="H181" s="91">
        <f>INT(C181*G181)</f>
        <v>26139</v>
      </c>
      <c r="I181" s="91">
        <f>J179</f>
        <v>3439</v>
      </c>
      <c r="J181" s="91">
        <f>INT(C181*I181)</f>
        <v>1719</v>
      </c>
      <c r="K181" s="91">
        <f>L179</f>
        <v>4887</v>
      </c>
      <c r="L181" s="91">
        <f>INT(C181*K181)</f>
        <v>2443</v>
      </c>
    </row>
    <row r="182" spans="1:12" ht="15" customHeight="1">
      <c r="A182" s="129" t="s">
        <v>617</v>
      </c>
      <c r="B182" s="126"/>
      <c r="C182" s="129"/>
      <c r="D182" s="1"/>
      <c r="E182" s="301"/>
      <c r="F182" s="301">
        <f>H182+J182+L182</f>
        <v>30301</v>
      </c>
      <c r="G182" s="301"/>
      <c r="H182" s="301">
        <f>SUM(H181:H181)</f>
        <v>26139</v>
      </c>
      <c r="I182" s="301"/>
      <c r="J182" s="301">
        <f>SUM(J181:J181)</f>
        <v>1719</v>
      </c>
      <c r="K182" s="301"/>
      <c r="L182" s="301">
        <f>SUM(L181:L181)</f>
        <v>2443</v>
      </c>
    </row>
    <row r="183" spans="1:12" ht="15" customHeight="1">
      <c r="A183" s="209"/>
      <c r="B183" s="210"/>
      <c r="C183" s="95"/>
      <c r="D183" s="211"/>
      <c r="E183" s="212">
        <f>E180+1</f>
        <v>37</v>
      </c>
      <c r="F183" s="297" t="s">
        <v>743</v>
      </c>
      <c r="G183" s="95"/>
      <c r="H183" s="298"/>
      <c r="I183" s="299"/>
      <c r="J183" s="298" t="s">
        <v>1069</v>
      </c>
      <c r="K183" s="299"/>
      <c r="L183" s="300"/>
    </row>
    <row r="184" spans="1:12" ht="15" customHeight="1">
      <c r="A184" s="130" t="s">
        <v>1180</v>
      </c>
      <c r="B184" s="130" t="s">
        <v>744</v>
      </c>
      <c r="C184" s="129">
        <v>1</v>
      </c>
      <c r="D184" s="1" t="s">
        <v>635</v>
      </c>
      <c r="E184" s="91">
        <f>G184+I184+K184</f>
        <v>21626</v>
      </c>
      <c r="F184" s="91">
        <f>H184+J184+L184</f>
        <v>21626</v>
      </c>
      <c r="G184" s="91">
        <f>기초일람!F68</f>
        <v>17593</v>
      </c>
      <c r="H184" s="91">
        <f>INT(C184*G184)</f>
        <v>17593</v>
      </c>
      <c r="I184" s="91">
        <f>기초일람!G68</f>
        <v>1499</v>
      </c>
      <c r="J184" s="91">
        <f>INT(C184*I184)</f>
        <v>1499</v>
      </c>
      <c r="K184" s="91">
        <f>기초일람!H68</f>
        <v>2534</v>
      </c>
      <c r="L184" s="91">
        <f>INT(C184*K184)</f>
        <v>2534</v>
      </c>
    </row>
    <row r="185" spans="1:12" ht="15" customHeight="1">
      <c r="A185" s="130" t="s">
        <v>12</v>
      </c>
      <c r="B185" s="130" t="s">
        <v>744</v>
      </c>
      <c r="C185" s="134">
        <v>1</v>
      </c>
      <c r="D185" s="1" t="s">
        <v>635</v>
      </c>
      <c r="E185" s="91">
        <f>G185+I185+K185</f>
        <v>0</v>
      </c>
      <c r="F185" s="91">
        <f>H185+J185+L185</f>
        <v>0</v>
      </c>
      <c r="G185" s="91"/>
      <c r="H185" s="91">
        <f>INT(C185*G185)</f>
        <v>0</v>
      </c>
      <c r="I185" s="91"/>
      <c r="J185" s="91">
        <f>INT(C185*I185)</f>
        <v>0</v>
      </c>
      <c r="K185" s="91"/>
      <c r="L185" s="91">
        <f>INT(C185*K185)</f>
        <v>0</v>
      </c>
    </row>
    <row r="186" spans="1:12" ht="15" customHeight="1">
      <c r="A186" s="129" t="s">
        <v>617</v>
      </c>
      <c r="B186" s="126"/>
      <c r="C186" s="129"/>
      <c r="D186" s="1"/>
      <c r="E186" s="301"/>
      <c r="F186" s="301">
        <f>H186+J186+L186</f>
        <v>21626</v>
      </c>
      <c r="G186" s="301"/>
      <c r="H186" s="301">
        <f>SUM(H184:H185)</f>
        <v>17593</v>
      </c>
      <c r="I186" s="301"/>
      <c r="J186" s="301">
        <f>SUM(J184:J185)</f>
        <v>1499</v>
      </c>
      <c r="K186" s="301"/>
      <c r="L186" s="301">
        <f>SUM(L184:L185)</f>
        <v>2534</v>
      </c>
    </row>
    <row r="187" spans="1:12" ht="15" customHeight="1">
      <c r="A187" s="209"/>
      <c r="B187" s="210"/>
      <c r="C187" s="95"/>
      <c r="D187" s="211"/>
      <c r="E187" s="212">
        <f>E183+1</f>
        <v>38</v>
      </c>
      <c r="F187" s="297" t="s">
        <v>1677</v>
      </c>
      <c r="G187" s="95"/>
      <c r="H187" s="298"/>
      <c r="I187" s="299"/>
      <c r="J187" s="298" t="s">
        <v>1069</v>
      </c>
      <c r="K187" s="299"/>
      <c r="L187" s="300"/>
    </row>
    <row r="188" spans="1:12" ht="15" customHeight="1">
      <c r="A188" s="130" t="s">
        <v>708</v>
      </c>
      <c r="B188" s="130" t="s">
        <v>707</v>
      </c>
      <c r="C188" s="129">
        <v>0.5</v>
      </c>
      <c r="D188" s="1"/>
      <c r="E188" s="91">
        <f>G188+I188+K188</f>
        <v>21626</v>
      </c>
      <c r="F188" s="91">
        <f>H188+J188+L188</f>
        <v>10812</v>
      </c>
      <c r="G188" s="91">
        <f>H186</f>
        <v>17593</v>
      </c>
      <c r="H188" s="91">
        <f>INT(C188*G188)</f>
        <v>8796</v>
      </c>
      <c r="I188" s="91">
        <f>J186</f>
        <v>1499</v>
      </c>
      <c r="J188" s="91">
        <f>INT(C188*I188)</f>
        <v>749</v>
      </c>
      <c r="K188" s="91">
        <f>L186</f>
        <v>2534</v>
      </c>
      <c r="L188" s="91">
        <f>INT(C188*K188)</f>
        <v>1267</v>
      </c>
    </row>
    <row r="189" spans="1:12" ht="15" customHeight="1">
      <c r="A189" s="129" t="s">
        <v>617</v>
      </c>
      <c r="B189" s="126"/>
      <c r="C189" s="129"/>
      <c r="D189" s="1"/>
      <c r="E189" s="301"/>
      <c r="F189" s="301">
        <f>H189+J189+L189</f>
        <v>10812</v>
      </c>
      <c r="G189" s="301"/>
      <c r="H189" s="301">
        <f>SUM(H188:H188)</f>
        <v>8796</v>
      </c>
      <c r="I189" s="301"/>
      <c r="J189" s="301">
        <f>SUM(J188:J188)</f>
        <v>749</v>
      </c>
      <c r="K189" s="301"/>
      <c r="L189" s="301">
        <f>SUM(L188:L188)</f>
        <v>1267</v>
      </c>
    </row>
    <row r="190" spans="1:12" ht="15" customHeight="1">
      <c r="A190" s="209"/>
      <c r="B190" s="210"/>
      <c r="C190" s="95"/>
      <c r="D190" s="211"/>
      <c r="E190" s="212">
        <f>E187+1</f>
        <v>39</v>
      </c>
      <c r="F190" s="297" t="s">
        <v>1534</v>
      </c>
      <c r="G190" s="95"/>
      <c r="H190" s="298"/>
      <c r="I190" s="299"/>
      <c r="J190" s="298" t="s">
        <v>1069</v>
      </c>
      <c r="K190" s="299"/>
      <c r="L190" s="300"/>
    </row>
    <row r="191" spans="1:12" ht="15" customHeight="1">
      <c r="A191" s="130" t="s">
        <v>1179</v>
      </c>
      <c r="B191" s="130"/>
      <c r="C191" s="129">
        <v>1</v>
      </c>
      <c r="D191" s="1" t="s">
        <v>635</v>
      </c>
      <c r="E191" s="91">
        <f t="shared" ref="E191:F193" si="30">G191+I191+K191</f>
        <v>7003</v>
      </c>
      <c r="F191" s="91">
        <f t="shared" si="30"/>
        <v>7003</v>
      </c>
      <c r="G191" s="91">
        <f>자재일람!F15</f>
        <v>6361</v>
      </c>
      <c r="H191" s="91">
        <f>INT(C191*G191)</f>
        <v>6361</v>
      </c>
      <c r="I191" s="91">
        <f>자재일람!G15</f>
        <v>529</v>
      </c>
      <c r="J191" s="91">
        <f>INT(C191*I191)</f>
        <v>529</v>
      </c>
      <c r="K191" s="91">
        <f>자재일람!H15</f>
        <v>113</v>
      </c>
      <c r="L191" s="91">
        <f>INT(C191*K191)</f>
        <v>113</v>
      </c>
    </row>
    <row r="192" spans="1:12" ht="15" customHeight="1">
      <c r="A192" s="130" t="s">
        <v>1180</v>
      </c>
      <c r="B192" s="130" t="s">
        <v>1521</v>
      </c>
      <c r="C192" s="129">
        <v>1</v>
      </c>
      <c r="D192" s="1" t="s">
        <v>635</v>
      </c>
      <c r="E192" s="91">
        <f t="shared" si="30"/>
        <v>26843</v>
      </c>
      <c r="F192" s="91">
        <f t="shared" si="30"/>
        <v>26843</v>
      </c>
      <c r="G192" s="91">
        <f>기초일람!F69</f>
        <v>22198</v>
      </c>
      <c r="H192" s="91">
        <f>INT(C192*G192)</f>
        <v>22198</v>
      </c>
      <c r="I192" s="91">
        <f>기초일람!G69</f>
        <v>1638</v>
      </c>
      <c r="J192" s="91">
        <f>INT(C192*I192)</f>
        <v>1638</v>
      </c>
      <c r="K192" s="91">
        <f>기초일람!H69</f>
        <v>3007</v>
      </c>
      <c r="L192" s="91">
        <f>INT(C192*K192)</f>
        <v>3007</v>
      </c>
    </row>
    <row r="193" spans="1:12" ht="15" customHeight="1">
      <c r="A193" s="130" t="s">
        <v>12</v>
      </c>
      <c r="B193" s="130" t="s">
        <v>1521</v>
      </c>
      <c r="C193" s="134">
        <v>1</v>
      </c>
      <c r="D193" s="1" t="s">
        <v>635</v>
      </c>
      <c r="E193" s="91">
        <f t="shared" si="30"/>
        <v>0</v>
      </c>
      <c r="F193" s="91">
        <f t="shared" si="30"/>
        <v>0</v>
      </c>
      <c r="G193" s="91"/>
      <c r="H193" s="91">
        <f>INT(C193*G193)</f>
        <v>0</v>
      </c>
      <c r="I193" s="91"/>
      <c r="J193" s="91">
        <f>INT(C193*I193)</f>
        <v>0</v>
      </c>
      <c r="K193" s="91"/>
      <c r="L193" s="91">
        <f>INT(C193*K193)</f>
        <v>0</v>
      </c>
    </row>
    <row r="194" spans="1:12" ht="15" customHeight="1">
      <c r="A194" s="129" t="s">
        <v>617</v>
      </c>
      <c r="B194" s="126"/>
      <c r="C194" s="129"/>
      <c r="D194" s="1"/>
      <c r="E194" s="301"/>
      <c r="F194" s="301">
        <f>H194+J194+L194</f>
        <v>33846</v>
      </c>
      <c r="G194" s="301"/>
      <c r="H194" s="301">
        <f>SUM(H191:H193)</f>
        <v>28559</v>
      </c>
      <c r="I194" s="301"/>
      <c r="J194" s="301">
        <f>SUM(J191:J193)</f>
        <v>2167</v>
      </c>
      <c r="K194" s="301"/>
      <c r="L194" s="301">
        <f>SUM(L191:L193)</f>
        <v>3120</v>
      </c>
    </row>
    <row r="195" spans="1:12" ht="15" customHeight="1">
      <c r="A195" s="209"/>
      <c r="B195" s="210"/>
      <c r="C195" s="95"/>
      <c r="D195" s="211"/>
      <c r="E195" s="212">
        <f>E190+1</f>
        <v>40</v>
      </c>
      <c r="F195" s="297" t="s">
        <v>709</v>
      </c>
      <c r="G195" s="95"/>
      <c r="H195" s="298"/>
      <c r="I195" s="299"/>
      <c r="J195" s="298" t="s">
        <v>1069</v>
      </c>
      <c r="K195" s="299"/>
      <c r="L195" s="300"/>
    </row>
    <row r="196" spans="1:12" ht="15" customHeight="1">
      <c r="A196" s="130" t="s">
        <v>708</v>
      </c>
      <c r="B196" s="130" t="s">
        <v>707</v>
      </c>
      <c r="C196" s="129">
        <v>0.5</v>
      </c>
      <c r="D196" s="1"/>
      <c r="E196" s="91">
        <f>G196+I196+K196</f>
        <v>33846</v>
      </c>
      <c r="F196" s="91">
        <f>H196+J196+L196</f>
        <v>16922</v>
      </c>
      <c r="G196" s="91">
        <f>H194</f>
        <v>28559</v>
      </c>
      <c r="H196" s="91">
        <f>INT(C196*G196)</f>
        <v>14279</v>
      </c>
      <c r="I196" s="91">
        <f>J194</f>
        <v>2167</v>
      </c>
      <c r="J196" s="91">
        <f>INT(C196*I196)</f>
        <v>1083</v>
      </c>
      <c r="K196" s="91">
        <f>L194</f>
        <v>3120</v>
      </c>
      <c r="L196" s="91">
        <f>INT(C196*K196)</f>
        <v>1560</v>
      </c>
    </row>
    <row r="197" spans="1:12" ht="15" customHeight="1">
      <c r="A197" s="129" t="s">
        <v>617</v>
      </c>
      <c r="B197" s="126"/>
      <c r="C197" s="129"/>
      <c r="D197" s="1"/>
      <c r="E197" s="301"/>
      <c r="F197" s="301">
        <f>H197+J197+L197</f>
        <v>16922</v>
      </c>
      <c r="G197" s="301"/>
      <c r="H197" s="301">
        <f>SUM(H196:H196)</f>
        <v>14279</v>
      </c>
      <c r="I197" s="301"/>
      <c r="J197" s="301">
        <f>SUM(J196:J196)</f>
        <v>1083</v>
      </c>
      <c r="K197" s="301"/>
      <c r="L197" s="301">
        <f>SUM(L196:L196)</f>
        <v>1560</v>
      </c>
    </row>
    <row r="198" spans="1:12" ht="15" customHeight="1">
      <c r="A198" s="209"/>
      <c r="B198" s="210"/>
      <c r="C198" s="95"/>
      <c r="D198" s="211"/>
      <c r="E198" s="212">
        <f>E195+1</f>
        <v>41</v>
      </c>
      <c r="F198" s="297" t="s">
        <v>43</v>
      </c>
      <c r="G198" s="95"/>
      <c r="H198" s="298"/>
      <c r="I198" s="299"/>
      <c r="J198" s="298" t="s">
        <v>1069</v>
      </c>
      <c r="K198" s="299"/>
      <c r="L198" s="300"/>
    </row>
    <row r="199" spans="1:12" ht="15" customHeight="1">
      <c r="A199" s="130" t="s">
        <v>1179</v>
      </c>
      <c r="B199" s="130"/>
      <c r="C199" s="129">
        <v>1</v>
      </c>
      <c r="D199" s="1" t="s">
        <v>635</v>
      </c>
      <c r="E199" s="91">
        <f t="shared" ref="E199:F201" si="31">G199+I199+K199</f>
        <v>9555</v>
      </c>
      <c r="F199" s="91">
        <f t="shared" si="31"/>
        <v>9555</v>
      </c>
      <c r="G199" s="91">
        <f>자재일람!F16</f>
        <v>8702</v>
      </c>
      <c r="H199" s="91">
        <f>INT(C199*G199)</f>
        <v>8702</v>
      </c>
      <c r="I199" s="91">
        <f>자재일람!G16</f>
        <v>702</v>
      </c>
      <c r="J199" s="91">
        <f>INT(C199*I199)</f>
        <v>702</v>
      </c>
      <c r="K199" s="91">
        <f>자재일람!H16</f>
        <v>151</v>
      </c>
      <c r="L199" s="91">
        <f>INT(C199*K199)</f>
        <v>151</v>
      </c>
    </row>
    <row r="200" spans="1:12" ht="15" customHeight="1">
      <c r="A200" s="130" t="s">
        <v>1180</v>
      </c>
      <c r="B200" s="130" t="s">
        <v>42</v>
      </c>
      <c r="C200" s="129">
        <v>1</v>
      </c>
      <c r="D200" s="1" t="s">
        <v>635</v>
      </c>
      <c r="E200" s="91">
        <f t="shared" si="31"/>
        <v>33348</v>
      </c>
      <c r="F200" s="91">
        <f t="shared" si="31"/>
        <v>33348</v>
      </c>
      <c r="G200" s="91">
        <f>기초일람!F70</f>
        <v>27773</v>
      </c>
      <c r="H200" s="91">
        <f>INT(C200*G200)</f>
        <v>27773</v>
      </c>
      <c r="I200" s="91">
        <f>기초일람!G70</f>
        <v>1914</v>
      </c>
      <c r="J200" s="91">
        <f>INT(C200*I200)</f>
        <v>1914</v>
      </c>
      <c r="K200" s="91">
        <f>기초일람!H70</f>
        <v>3661</v>
      </c>
      <c r="L200" s="91">
        <f>INT(C200*K200)</f>
        <v>3661</v>
      </c>
    </row>
    <row r="201" spans="1:12" ht="15" customHeight="1">
      <c r="A201" s="130" t="s">
        <v>12</v>
      </c>
      <c r="B201" s="130" t="s">
        <v>42</v>
      </c>
      <c r="C201" s="134">
        <v>1</v>
      </c>
      <c r="D201" s="1" t="s">
        <v>635</v>
      </c>
      <c r="E201" s="91">
        <f t="shared" si="31"/>
        <v>0</v>
      </c>
      <c r="F201" s="91">
        <f t="shared" si="31"/>
        <v>0</v>
      </c>
      <c r="G201" s="91"/>
      <c r="H201" s="91">
        <f>INT(C201*G201)</f>
        <v>0</v>
      </c>
      <c r="I201" s="91"/>
      <c r="J201" s="91">
        <f>INT(C201*I201)</f>
        <v>0</v>
      </c>
      <c r="K201" s="91"/>
      <c r="L201" s="91">
        <f>INT(C201*K201)</f>
        <v>0</v>
      </c>
    </row>
    <row r="202" spans="1:12" ht="15" customHeight="1">
      <c r="A202" s="129" t="s">
        <v>617</v>
      </c>
      <c r="B202" s="126"/>
      <c r="C202" s="129"/>
      <c r="D202" s="1"/>
      <c r="E202" s="301"/>
      <c r="F202" s="301">
        <f>H202+J202+L202</f>
        <v>42903</v>
      </c>
      <c r="G202" s="301"/>
      <c r="H202" s="301">
        <f>SUM(H199:H201)</f>
        <v>36475</v>
      </c>
      <c r="I202" s="301"/>
      <c r="J202" s="301">
        <f>SUM(J199:J201)</f>
        <v>2616</v>
      </c>
      <c r="K202" s="301"/>
      <c r="L202" s="301">
        <f>SUM(L199:L201)</f>
        <v>3812</v>
      </c>
    </row>
    <row r="203" spans="1:12" ht="15" customHeight="1">
      <c r="A203" s="209"/>
      <c r="B203" s="210"/>
      <c r="C203" s="95"/>
      <c r="D203" s="211"/>
      <c r="E203" s="212">
        <f>E198+1</f>
        <v>42</v>
      </c>
      <c r="F203" s="297" t="s">
        <v>1686</v>
      </c>
      <c r="G203" s="95"/>
      <c r="H203" s="298"/>
      <c r="I203" s="299"/>
      <c r="J203" s="298" t="s">
        <v>1069</v>
      </c>
      <c r="K203" s="299"/>
      <c r="L203" s="300"/>
    </row>
    <row r="204" spans="1:12" ht="15" customHeight="1">
      <c r="A204" s="130" t="s">
        <v>708</v>
      </c>
      <c r="B204" s="130" t="s">
        <v>707</v>
      </c>
      <c r="C204" s="129">
        <v>0.5</v>
      </c>
      <c r="D204" s="1"/>
      <c r="E204" s="91">
        <f>G204+I204+K204</f>
        <v>42903</v>
      </c>
      <c r="F204" s="91">
        <f>H204+J204+L204</f>
        <v>21451</v>
      </c>
      <c r="G204" s="91">
        <f>H202</f>
        <v>36475</v>
      </c>
      <c r="H204" s="91">
        <f>INT(C204*G204)</f>
        <v>18237</v>
      </c>
      <c r="I204" s="91">
        <f>J202</f>
        <v>2616</v>
      </c>
      <c r="J204" s="91">
        <f>INT(C204*I204)</f>
        <v>1308</v>
      </c>
      <c r="K204" s="91">
        <f>L202</f>
        <v>3812</v>
      </c>
      <c r="L204" s="91">
        <f>INT(C204*K204)</f>
        <v>1906</v>
      </c>
    </row>
    <row r="205" spans="1:12" ht="15" customHeight="1">
      <c r="A205" s="129" t="s">
        <v>617</v>
      </c>
      <c r="B205" s="126"/>
      <c r="C205" s="129"/>
      <c r="D205" s="1"/>
      <c r="E205" s="301"/>
      <c r="F205" s="301">
        <f>H205+J205+L205</f>
        <v>21451</v>
      </c>
      <c r="G205" s="301"/>
      <c r="H205" s="301">
        <f>SUM(H204:H204)</f>
        <v>18237</v>
      </c>
      <c r="I205" s="301"/>
      <c r="J205" s="301">
        <f>SUM(J204:J204)</f>
        <v>1308</v>
      </c>
      <c r="K205" s="301"/>
      <c r="L205" s="301">
        <f>SUM(L204:L204)</f>
        <v>1906</v>
      </c>
    </row>
    <row r="206" spans="1:12" ht="15" customHeight="1">
      <c r="A206" s="209"/>
      <c r="B206" s="210"/>
      <c r="C206" s="95"/>
      <c r="D206" s="211"/>
      <c r="E206" s="212">
        <f>E203+1</f>
        <v>43</v>
      </c>
      <c r="F206" s="297" t="s">
        <v>1535</v>
      </c>
      <c r="G206" s="95"/>
      <c r="H206" s="298"/>
      <c r="I206" s="299"/>
      <c r="J206" s="298" t="s">
        <v>1069</v>
      </c>
      <c r="K206" s="299"/>
      <c r="L206" s="300"/>
    </row>
    <row r="207" spans="1:12" ht="15" customHeight="1">
      <c r="A207" s="130" t="s">
        <v>1179</v>
      </c>
      <c r="B207" s="130"/>
      <c r="C207" s="129">
        <v>1</v>
      </c>
      <c r="D207" s="1" t="s">
        <v>635</v>
      </c>
      <c r="E207" s="91">
        <f t="shared" ref="E207:F209" si="32">G207+I207+K207</f>
        <v>12855</v>
      </c>
      <c r="F207" s="91">
        <f t="shared" si="32"/>
        <v>12855</v>
      </c>
      <c r="G207" s="91">
        <f>자재일람!F18</f>
        <v>11683</v>
      </c>
      <c r="H207" s="91">
        <f>INT(C207*G207)</f>
        <v>11683</v>
      </c>
      <c r="I207" s="91">
        <f>자재일람!G18</f>
        <v>965</v>
      </c>
      <c r="J207" s="91">
        <f>INT(C207*I207)</f>
        <v>965</v>
      </c>
      <c r="K207" s="91">
        <f>자재일람!H18</f>
        <v>207</v>
      </c>
      <c r="L207" s="91">
        <f>INT(C207*K207)</f>
        <v>207</v>
      </c>
    </row>
    <row r="208" spans="1:12" ht="15" customHeight="1">
      <c r="A208" s="130" t="s">
        <v>1180</v>
      </c>
      <c r="B208" s="130" t="s">
        <v>1522</v>
      </c>
      <c r="C208" s="129">
        <v>1</v>
      </c>
      <c r="D208" s="1" t="s">
        <v>635</v>
      </c>
      <c r="E208" s="91">
        <f t="shared" si="32"/>
        <v>38750</v>
      </c>
      <c r="F208" s="91">
        <f t="shared" si="32"/>
        <v>38750</v>
      </c>
      <c r="G208" s="91">
        <f>기초일람!F71</f>
        <v>32551</v>
      </c>
      <c r="H208" s="91">
        <f>INT(C208*G208)</f>
        <v>32551</v>
      </c>
      <c r="I208" s="91">
        <f>기초일람!G71</f>
        <v>2052</v>
      </c>
      <c r="J208" s="91">
        <f>INT(C208*I208)</f>
        <v>2052</v>
      </c>
      <c r="K208" s="91">
        <f>기초내역!L414</f>
        <v>4147</v>
      </c>
      <c r="L208" s="91">
        <f>INT(C208*K208)</f>
        <v>4147</v>
      </c>
    </row>
    <row r="209" spans="1:12" ht="15" customHeight="1">
      <c r="A209" s="130" t="s">
        <v>12</v>
      </c>
      <c r="B209" s="130" t="s">
        <v>1522</v>
      </c>
      <c r="C209" s="134">
        <v>1</v>
      </c>
      <c r="D209" s="1" t="s">
        <v>635</v>
      </c>
      <c r="E209" s="91">
        <f t="shared" si="32"/>
        <v>0</v>
      </c>
      <c r="F209" s="91">
        <f t="shared" si="32"/>
        <v>0</v>
      </c>
      <c r="G209" s="91"/>
      <c r="H209" s="91">
        <f>INT(C209*G209)</f>
        <v>0</v>
      </c>
      <c r="I209" s="91"/>
      <c r="J209" s="91">
        <f>INT(C209*I209)</f>
        <v>0</v>
      </c>
      <c r="K209" s="91"/>
      <c r="L209" s="91">
        <f>INT(C209*K209)</f>
        <v>0</v>
      </c>
    </row>
    <row r="210" spans="1:12" ht="15" customHeight="1">
      <c r="A210" s="129" t="s">
        <v>617</v>
      </c>
      <c r="B210" s="126"/>
      <c r="C210" s="129"/>
      <c r="D210" s="1"/>
      <c r="E210" s="301"/>
      <c r="F210" s="301">
        <f>H210+J210+L210</f>
        <v>51605</v>
      </c>
      <c r="G210" s="301"/>
      <c r="H210" s="301">
        <f>SUM(H207:H209)</f>
        <v>44234</v>
      </c>
      <c r="I210" s="301"/>
      <c r="J210" s="301">
        <f>SUM(J207:J209)</f>
        <v>3017</v>
      </c>
      <c r="K210" s="301"/>
      <c r="L210" s="301">
        <f>SUM(L207:L209)</f>
        <v>4354</v>
      </c>
    </row>
    <row r="211" spans="1:12" ht="15" customHeight="1">
      <c r="A211" s="209"/>
      <c r="B211" s="210"/>
      <c r="C211" s="95"/>
      <c r="D211" s="211"/>
      <c r="E211" s="212">
        <f>E206+1</f>
        <v>44</v>
      </c>
      <c r="F211" s="297" t="s">
        <v>1687</v>
      </c>
      <c r="G211" s="95"/>
      <c r="H211" s="298"/>
      <c r="I211" s="299"/>
      <c r="J211" s="298" t="s">
        <v>1069</v>
      </c>
      <c r="K211" s="299"/>
      <c r="L211" s="300"/>
    </row>
    <row r="212" spans="1:12" ht="15" customHeight="1">
      <c r="A212" s="130" t="s">
        <v>708</v>
      </c>
      <c r="B212" s="130" t="s">
        <v>707</v>
      </c>
      <c r="C212" s="129">
        <v>0.5</v>
      </c>
      <c r="D212" s="1"/>
      <c r="E212" s="91">
        <f>G212+I212+K212</f>
        <v>51605</v>
      </c>
      <c r="F212" s="91">
        <f>H212+J212+L212</f>
        <v>25802</v>
      </c>
      <c r="G212" s="91">
        <f>H210</f>
        <v>44234</v>
      </c>
      <c r="H212" s="91">
        <f>INT(C212*G212)</f>
        <v>22117</v>
      </c>
      <c r="I212" s="91">
        <f>J210</f>
        <v>3017</v>
      </c>
      <c r="J212" s="91">
        <f>INT(C212*I212)</f>
        <v>1508</v>
      </c>
      <c r="K212" s="91">
        <f>L210</f>
        <v>4354</v>
      </c>
      <c r="L212" s="91">
        <f>INT(C212*K212)</f>
        <v>2177</v>
      </c>
    </row>
    <row r="213" spans="1:12" ht="15" customHeight="1">
      <c r="A213" s="129" t="s">
        <v>617</v>
      </c>
      <c r="B213" s="126"/>
      <c r="C213" s="129"/>
      <c r="D213" s="1"/>
      <c r="E213" s="301"/>
      <c r="F213" s="301">
        <f>H213+J213+L213</f>
        <v>25802</v>
      </c>
      <c r="G213" s="301"/>
      <c r="H213" s="301">
        <f>SUM(H212:H212)</f>
        <v>22117</v>
      </c>
      <c r="I213" s="301"/>
      <c r="J213" s="301">
        <f>SUM(J212:J212)</f>
        <v>1508</v>
      </c>
      <c r="K213" s="301"/>
      <c r="L213" s="301">
        <f>SUM(L212:L212)</f>
        <v>2177</v>
      </c>
    </row>
    <row r="214" spans="1:12" ht="15" customHeight="1">
      <c r="A214" s="209"/>
      <c r="B214" s="210"/>
      <c r="C214" s="95"/>
      <c r="D214" s="211"/>
      <c r="E214" s="212">
        <f>E211+1</f>
        <v>45</v>
      </c>
      <c r="F214" s="297" t="s">
        <v>1536</v>
      </c>
      <c r="G214" s="95"/>
      <c r="H214" s="298"/>
      <c r="I214" s="299"/>
      <c r="J214" s="298" t="s">
        <v>1069</v>
      </c>
      <c r="K214" s="299"/>
      <c r="L214" s="300"/>
    </row>
    <row r="215" spans="1:12" ht="15" customHeight="1">
      <c r="A215" s="130" t="s">
        <v>1179</v>
      </c>
      <c r="B215" s="130"/>
      <c r="C215" s="129">
        <v>1</v>
      </c>
      <c r="D215" s="1" t="s">
        <v>635</v>
      </c>
      <c r="E215" s="91">
        <f t="shared" ref="E215:F217" si="33">G215+I215+K215</f>
        <v>25168</v>
      </c>
      <c r="F215" s="91">
        <f t="shared" si="33"/>
        <v>25168</v>
      </c>
      <c r="G215" s="91">
        <f>자재일람!F20</f>
        <v>22884</v>
      </c>
      <c r="H215" s="91">
        <f>INT(C215*G215)</f>
        <v>22884</v>
      </c>
      <c r="I215" s="91">
        <f>자재일람!G20</f>
        <v>1880</v>
      </c>
      <c r="J215" s="91">
        <f>INT(C215*I215)</f>
        <v>1880</v>
      </c>
      <c r="K215" s="91">
        <f>자재일람!H20</f>
        <v>404</v>
      </c>
      <c r="L215" s="91">
        <f>INT(C215*K215)</f>
        <v>404</v>
      </c>
    </row>
    <row r="216" spans="1:12" ht="15" customHeight="1">
      <c r="A216" s="130" t="s">
        <v>1180</v>
      </c>
      <c r="B216" s="130" t="s">
        <v>1523</v>
      </c>
      <c r="C216" s="129">
        <v>1</v>
      </c>
      <c r="D216" s="1" t="s">
        <v>635</v>
      </c>
      <c r="E216" s="91">
        <f t="shared" si="33"/>
        <v>56128</v>
      </c>
      <c r="F216" s="91">
        <f t="shared" si="33"/>
        <v>56128</v>
      </c>
      <c r="G216" s="91">
        <f>기초일람!F72</f>
        <v>47727</v>
      </c>
      <c r="H216" s="91">
        <f>INT(C216*G216)</f>
        <v>47727</v>
      </c>
      <c r="I216" s="91">
        <f>기초일람!G72</f>
        <v>2616</v>
      </c>
      <c r="J216" s="91">
        <f>INT(C216*I216)</f>
        <v>2616</v>
      </c>
      <c r="K216" s="91">
        <f>기초일람!H72</f>
        <v>5785</v>
      </c>
      <c r="L216" s="91">
        <f>INT(C216*K216)</f>
        <v>5785</v>
      </c>
    </row>
    <row r="217" spans="1:12" ht="15" customHeight="1">
      <c r="A217" s="130" t="s">
        <v>12</v>
      </c>
      <c r="B217" s="130" t="s">
        <v>1523</v>
      </c>
      <c r="C217" s="134">
        <v>1</v>
      </c>
      <c r="D217" s="1" t="s">
        <v>635</v>
      </c>
      <c r="E217" s="91">
        <f t="shared" si="33"/>
        <v>0</v>
      </c>
      <c r="F217" s="91">
        <f t="shared" si="33"/>
        <v>0</v>
      </c>
      <c r="G217" s="91"/>
      <c r="H217" s="91">
        <f>INT(C217*G217)</f>
        <v>0</v>
      </c>
      <c r="I217" s="91"/>
      <c r="J217" s="91">
        <f>INT(C217*I217)</f>
        <v>0</v>
      </c>
      <c r="K217" s="91"/>
      <c r="L217" s="91">
        <f>INT(C217*K217)</f>
        <v>0</v>
      </c>
    </row>
    <row r="218" spans="1:12" ht="15" customHeight="1">
      <c r="A218" s="129" t="s">
        <v>617</v>
      </c>
      <c r="B218" s="126"/>
      <c r="C218" s="129"/>
      <c r="D218" s="1"/>
      <c r="E218" s="301"/>
      <c r="F218" s="301">
        <f>H218+J218+L218</f>
        <v>81296</v>
      </c>
      <c r="G218" s="301"/>
      <c r="H218" s="301">
        <f>SUM(H215:H217)</f>
        <v>70611</v>
      </c>
      <c r="I218" s="301"/>
      <c r="J218" s="301">
        <f>SUM(J215:J217)</f>
        <v>4496</v>
      </c>
      <c r="K218" s="301"/>
      <c r="L218" s="301">
        <f>SUM(L215:L217)</f>
        <v>6189</v>
      </c>
    </row>
    <row r="219" spans="1:12" ht="15" customHeight="1">
      <c r="A219" s="209"/>
      <c r="B219" s="210"/>
      <c r="C219" s="95"/>
      <c r="D219" s="211"/>
      <c r="E219" s="212">
        <f>E214+1</f>
        <v>46</v>
      </c>
      <c r="F219" s="297" t="s">
        <v>2565</v>
      </c>
      <c r="G219" s="95"/>
      <c r="H219" s="298"/>
      <c r="I219" s="299"/>
      <c r="J219" s="298" t="s">
        <v>1069</v>
      </c>
      <c r="K219" s="299"/>
      <c r="L219" s="300"/>
    </row>
    <row r="220" spans="1:12" ht="15" customHeight="1">
      <c r="A220" s="130" t="s">
        <v>708</v>
      </c>
      <c r="B220" s="130" t="s">
        <v>707</v>
      </c>
      <c r="C220" s="129">
        <v>0.5</v>
      </c>
      <c r="D220" s="1"/>
      <c r="E220" s="91">
        <f>G220+I220+K220</f>
        <v>81296</v>
      </c>
      <c r="F220" s="91">
        <f>H220+J220+L220</f>
        <v>40647</v>
      </c>
      <c r="G220" s="91">
        <f>H218</f>
        <v>70611</v>
      </c>
      <c r="H220" s="91">
        <f>INT(C220*G220)</f>
        <v>35305</v>
      </c>
      <c r="I220" s="91">
        <f>J218</f>
        <v>4496</v>
      </c>
      <c r="J220" s="91">
        <f>INT(C220*I220)</f>
        <v>2248</v>
      </c>
      <c r="K220" s="91">
        <f>L218</f>
        <v>6189</v>
      </c>
      <c r="L220" s="91">
        <f>INT(C220*K220)</f>
        <v>3094</v>
      </c>
    </row>
    <row r="221" spans="1:12" ht="15" customHeight="1">
      <c r="A221" s="129" t="s">
        <v>617</v>
      </c>
      <c r="B221" s="126"/>
      <c r="C221" s="129"/>
      <c r="D221" s="1"/>
      <c r="E221" s="301"/>
      <c r="F221" s="301">
        <f>H221+J221+L221</f>
        <v>40647</v>
      </c>
      <c r="G221" s="301"/>
      <c r="H221" s="301">
        <f>SUM(H220:H220)</f>
        <v>35305</v>
      </c>
      <c r="I221" s="301"/>
      <c r="J221" s="301">
        <f>SUM(J220:J220)</f>
        <v>2248</v>
      </c>
      <c r="K221" s="301"/>
      <c r="L221" s="301">
        <f>SUM(L220:L220)</f>
        <v>3094</v>
      </c>
    </row>
    <row r="222" spans="1:12" ht="15" customHeight="1">
      <c r="A222" s="209"/>
      <c r="B222" s="210"/>
      <c r="C222" s="95"/>
      <c r="D222" s="211"/>
      <c r="E222" s="212">
        <f>E219+1</f>
        <v>47</v>
      </c>
      <c r="F222" s="297" t="s">
        <v>1785</v>
      </c>
      <c r="G222" s="95"/>
      <c r="H222" s="298"/>
      <c r="I222" s="299"/>
      <c r="J222" s="298" t="s">
        <v>1069</v>
      </c>
      <c r="K222" s="299"/>
      <c r="L222" s="300"/>
    </row>
    <row r="223" spans="1:12" ht="15" customHeight="1">
      <c r="A223" s="130" t="s">
        <v>1179</v>
      </c>
      <c r="B223" s="130"/>
      <c r="C223" s="129">
        <v>1</v>
      </c>
      <c r="D223" s="1" t="s">
        <v>14</v>
      </c>
      <c r="E223" s="91">
        <f t="shared" ref="E223:F225" si="34">G223+I223+K223</f>
        <v>32120</v>
      </c>
      <c r="F223" s="91">
        <f t="shared" si="34"/>
        <v>32120</v>
      </c>
      <c r="G223" s="91">
        <f>자재일람!F21</f>
        <v>29206</v>
      </c>
      <c r="H223" s="91">
        <f>INT(C223*G223)</f>
        <v>29206</v>
      </c>
      <c r="I223" s="91">
        <f>자재일람!G21</f>
        <v>2398</v>
      </c>
      <c r="J223" s="91">
        <f>INT(C223*I223)</f>
        <v>2398</v>
      </c>
      <c r="K223" s="91">
        <f>자재일람!H21</f>
        <v>516</v>
      </c>
      <c r="L223" s="91">
        <f>INT(C223*K223)</f>
        <v>516</v>
      </c>
    </row>
    <row r="224" spans="1:12" ht="15" customHeight="1">
      <c r="A224" s="130" t="s">
        <v>1180</v>
      </c>
      <c r="B224" s="130" t="s">
        <v>1786</v>
      </c>
      <c r="C224" s="129">
        <v>1</v>
      </c>
      <c r="D224" s="1" t="s">
        <v>14</v>
      </c>
      <c r="E224" s="91">
        <f t="shared" si="34"/>
        <v>73717</v>
      </c>
      <c r="F224" s="91">
        <f t="shared" si="34"/>
        <v>73717</v>
      </c>
      <c r="G224" s="91">
        <f>기초일람!F73</f>
        <v>63081</v>
      </c>
      <c r="H224" s="91">
        <f>INT(C224*G224)</f>
        <v>63081</v>
      </c>
      <c r="I224" s="91">
        <f>기초일람!G73</f>
        <v>3191</v>
      </c>
      <c r="J224" s="91">
        <f>INT(C224*I224)</f>
        <v>3191</v>
      </c>
      <c r="K224" s="91">
        <f>기초일람!H73</f>
        <v>7445</v>
      </c>
      <c r="L224" s="91">
        <f>INT(C224*K224)</f>
        <v>7445</v>
      </c>
    </row>
    <row r="225" spans="1:12" ht="15" customHeight="1">
      <c r="A225" s="130" t="s">
        <v>12</v>
      </c>
      <c r="B225" s="130" t="s">
        <v>1786</v>
      </c>
      <c r="C225" s="134">
        <v>1</v>
      </c>
      <c r="D225" s="1" t="s">
        <v>14</v>
      </c>
      <c r="E225" s="91">
        <f t="shared" si="34"/>
        <v>0</v>
      </c>
      <c r="F225" s="91">
        <f t="shared" si="34"/>
        <v>0</v>
      </c>
      <c r="G225" s="91"/>
      <c r="H225" s="91">
        <f>INT(C225*G225)</f>
        <v>0</v>
      </c>
      <c r="I225" s="91"/>
      <c r="J225" s="91">
        <f>INT(C225*I225)</f>
        <v>0</v>
      </c>
      <c r="K225" s="91"/>
      <c r="L225" s="91">
        <f>INT(C225*K225)</f>
        <v>0</v>
      </c>
    </row>
    <row r="226" spans="1:12" ht="15" customHeight="1">
      <c r="A226" s="129" t="s">
        <v>617</v>
      </c>
      <c r="B226" s="126"/>
      <c r="C226" s="129"/>
      <c r="D226" s="1"/>
      <c r="E226" s="301"/>
      <c r="F226" s="301">
        <f>H226+J226+L226</f>
        <v>105837</v>
      </c>
      <c r="G226" s="301"/>
      <c r="H226" s="301">
        <f>SUM(H223:H225)</f>
        <v>92287</v>
      </c>
      <c r="I226" s="301"/>
      <c r="J226" s="301">
        <f>SUM(J223:J225)</f>
        <v>5589</v>
      </c>
      <c r="K226" s="301"/>
      <c r="L226" s="301">
        <f>SUM(L223:L225)</f>
        <v>7961</v>
      </c>
    </row>
    <row r="227" spans="1:12" ht="15" customHeight="1">
      <c r="A227" s="209"/>
      <c r="B227" s="210"/>
      <c r="C227" s="95"/>
      <c r="D227" s="211"/>
      <c r="E227" s="212">
        <f>E222+1</f>
        <v>48</v>
      </c>
      <c r="F227" s="297" t="s">
        <v>1824</v>
      </c>
      <c r="G227" s="95"/>
      <c r="H227" s="298"/>
      <c r="I227" s="299"/>
      <c r="J227" s="298" t="s">
        <v>1069</v>
      </c>
      <c r="K227" s="299"/>
      <c r="L227" s="300"/>
    </row>
    <row r="228" spans="1:12" ht="15" customHeight="1">
      <c r="A228" s="130" t="s">
        <v>1179</v>
      </c>
      <c r="B228" s="130"/>
      <c r="C228" s="129">
        <v>1</v>
      </c>
      <c r="D228" s="1" t="s">
        <v>14</v>
      </c>
      <c r="E228" s="91">
        <f t="shared" ref="E228:F230" si="35">G228+I228+K228</f>
        <v>41721</v>
      </c>
      <c r="F228" s="91">
        <f t="shared" si="35"/>
        <v>41721</v>
      </c>
      <c r="G228" s="91">
        <f>자재일람!F22</f>
        <v>37942</v>
      </c>
      <c r="H228" s="91">
        <f>INT(C228*G228)</f>
        <v>37942</v>
      </c>
      <c r="I228" s="91">
        <f>자재일람!G22</f>
        <v>3110</v>
      </c>
      <c r="J228" s="91">
        <f>INT(C228*I228)</f>
        <v>3110</v>
      </c>
      <c r="K228" s="91">
        <f>자재일람!H22</f>
        <v>669</v>
      </c>
      <c r="L228" s="91">
        <f>INT(C228*K228)</f>
        <v>669</v>
      </c>
    </row>
    <row r="229" spans="1:12" ht="15" customHeight="1">
      <c r="A229" s="130" t="s">
        <v>1180</v>
      </c>
      <c r="B229" s="130" t="s">
        <v>1822</v>
      </c>
      <c r="C229" s="129">
        <v>1</v>
      </c>
      <c r="D229" s="1" t="s">
        <v>14</v>
      </c>
      <c r="E229" s="91">
        <f t="shared" si="35"/>
        <v>85442</v>
      </c>
      <c r="F229" s="91">
        <f t="shared" si="35"/>
        <v>85442</v>
      </c>
      <c r="G229" s="91">
        <f>기초일람!F74</f>
        <v>73315</v>
      </c>
      <c r="H229" s="91">
        <f>INT(C229*G229)</f>
        <v>73315</v>
      </c>
      <c r="I229" s="91">
        <f>기초일람!G74</f>
        <v>3574</v>
      </c>
      <c r="J229" s="91">
        <f>INT(C229*I229)</f>
        <v>3574</v>
      </c>
      <c r="K229" s="91">
        <f>기초일람!H74</f>
        <v>8553</v>
      </c>
      <c r="L229" s="91">
        <f>INT(C229*K229)</f>
        <v>8553</v>
      </c>
    </row>
    <row r="230" spans="1:12" ht="15" customHeight="1">
      <c r="A230" s="130" t="s">
        <v>12</v>
      </c>
      <c r="B230" s="130" t="s">
        <v>1822</v>
      </c>
      <c r="C230" s="134">
        <v>1</v>
      </c>
      <c r="D230" s="1" t="s">
        <v>14</v>
      </c>
      <c r="E230" s="91">
        <f t="shared" si="35"/>
        <v>0</v>
      </c>
      <c r="F230" s="91">
        <f t="shared" si="35"/>
        <v>0</v>
      </c>
      <c r="G230" s="91"/>
      <c r="H230" s="91">
        <f>INT(C230*G230)</f>
        <v>0</v>
      </c>
      <c r="I230" s="91"/>
      <c r="J230" s="91">
        <f>INT(C230*I230)</f>
        <v>0</v>
      </c>
      <c r="K230" s="91"/>
      <c r="L230" s="91">
        <f>INT(C230*K230)</f>
        <v>0</v>
      </c>
    </row>
    <row r="231" spans="1:12" ht="15" customHeight="1">
      <c r="A231" s="129" t="s">
        <v>617</v>
      </c>
      <c r="B231" s="126"/>
      <c r="C231" s="129"/>
      <c r="D231" s="1"/>
      <c r="E231" s="301"/>
      <c r="F231" s="301">
        <f>H231+J231+L231</f>
        <v>127163</v>
      </c>
      <c r="G231" s="301"/>
      <c r="H231" s="301">
        <f>SUM(H228:H230)</f>
        <v>111257</v>
      </c>
      <c r="I231" s="301"/>
      <c r="J231" s="301">
        <f>SUM(J228:J230)</f>
        <v>6684</v>
      </c>
      <c r="K231" s="301"/>
      <c r="L231" s="301">
        <f>SUM(L228:L230)</f>
        <v>9222</v>
      </c>
    </row>
    <row r="232" spans="1:12" ht="15" customHeight="1">
      <c r="A232" s="209"/>
      <c r="B232" s="210"/>
      <c r="C232" s="95"/>
      <c r="D232" s="211"/>
      <c r="E232" s="212">
        <f>E227+1</f>
        <v>49</v>
      </c>
      <c r="F232" s="297" t="s">
        <v>2072</v>
      </c>
      <c r="G232" s="95"/>
      <c r="H232" s="298"/>
      <c r="I232" s="299"/>
      <c r="J232" s="298" t="s">
        <v>1069</v>
      </c>
      <c r="K232" s="299"/>
      <c r="L232" s="300"/>
    </row>
    <row r="233" spans="1:12" ht="15" customHeight="1">
      <c r="A233" s="130" t="s">
        <v>1179</v>
      </c>
      <c r="B233" s="130"/>
      <c r="C233" s="129">
        <v>1</v>
      </c>
      <c r="D233" s="1" t="s">
        <v>14</v>
      </c>
      <c r="E233" s="91">
        <f t="shared" ref="E233:F235" si="36">G233+I233+K233</f>
        <v>41721</v>
      </c>
      <c r="F233" s="91">
        <f t="shared" si="36"/>
        <v>41721</v>
      </c>
      <c r="G233" s="91">
        <f>자재일람!F22</f>
        <v>37942</v>
      </c>
      <c r="H233" s="91">
        <f>INT(C233*G233)</f>
        <v>37942</v>
      </c>
      <c r="I233" s="91">
        <f>자재일람!G22</f>
        <v>3110</v>
      </c>
      <c r="J233" s="91">
        <f>INT(C233*I233)</f>
        <v>3110</v>
      </c>
      <c r="K233" s="91">
        <f>자재일람!H22</f>
        <v>669</v>
      </c>
      <c r="L233" s="91">
        <f>INT(C233*K233)</f>
        <v>669</v>
      </c>
    </row>
    <row r="234" spans="1:12" ht="15" customHeight="1">
      <c r="A234" s="130" t="s">
        <v>1180</v>
      </c>
      <c r="B234" s="130" t="s">
        <v>2074</v>
      </c>
      <c r="C234" s="129">
        <v>1</v>
      </c>
      <c r="D234" s="1" t="s">
        <v>14</v>
      </c>
      <c r="E234" s="91">
        <f t="shared" si="36"/>
        <v>85442</v>
      </c>
      <c r="F234" s="91">
        <f t="shared" si="36"/>
        <v>85442</v>
      </c>
      <c r="G234" s="91">
        <f>기초일람!F74</f>
        <v>73315</v>
      </c>
      <c r="H234" s="91">
        <f>INT(C234*G234)</f>
        <v>73315</v>
      </c>
      <c r="I234" s="91">
        <f>기초일람!G74</f>
        <v>3574</v>
      </c>
      <c r="J234" s="91">
        <f>INT(C234*I234)</f>
        <v>3574</v>
      </c>
      <c r="K234" s="91">
        <f>기초일람!H74</f>
        <v>8553</v>
      </c>
      <c r="L234" s="91">
        <f>INT(C234*K234)</f>
        <v>8553</v>
      </c>
    </row>
    <row r="235" spans="1:12" ht="15" customHeight="1">
      <c r="A235" s="130" t="s">
        <v>12</v>
      </c>
      <c r="B235" s="130" t="s">
        <v>2074</v>
      </c>
      <c r="C235" s="134">
        <v>1</v>
      </c>
      <c r="D235" s="1" t="s">
        <v>14</v>
      </c>
      <c r="E235" s="91">
        <f t="shared" si="36"/>
        <v>0</v>
      </c>
      <c r="F235" s="91">
        <f t="shared" si="36"/>
        <v>0</v>
      </c>
      <c r="G235" s="91"/>
      <c r="H235" s="91">
        <f>INT(C235*G235)</f>
        <v>0</v>
      </c>
      <c r="I235" s="91"/>
      <c r="J235" s="91">
        <f>INT(C235*I235)</f>
        <v>0</v>
      </c>
      <c r="K235" s="91"/>
      <c r="L235" s="91">
        <f>INT(C235*K235)</f>
        <v>0</v>
      </c>
    </row>
    <row r="236" spans="1:12" ht="15" customHeight="1">
      <c r="A236" s="129" t="s">
        <v>617</v>
      </c>
      <c r="B236" s="126"/>
      <c r="C236" s="129"/>
      <c r="D236" s="1"/>
      <c r="E236" s="301"/>
      <c r="F236" s="301">
        <f>H236+J236+L236</f>
        <v>127163</v>
      </c>
      <c r="G236" s="301"/>
      <c r="H236" s="301">
        <f>SUM(H233:H235)</f>
        <v>111257</v>
      </c>
      <c r="I236" s="301"/>
      <c r="J236" s="301">
        <f>SUM(J233:J235)</f>
        <v>6684</v>
      </c>
      <c r="K236" s="301"/>
      <c r="L236" s="301">
        <f>SUM(L233:L235)</f>
        <v>9222</v>
      </c>
    </row>
    <row r="237" spans="1:12" ht="15" customHeight="1">
      <c r="A237" s="209"/>
      <c r="B237" s="210"/>
      <c r="C237" s="95"/>
      <c r="D237" s="211"/>
      <c r="E237" s="212">
        <f>E232+1</f>
        <v>50</v>
      </c>
      <c r="F237" s="297" t="s">
        <v>2073</v>
      </c>
      <c r="G237" s="95"/>
      <c r="H237" s="298"/>
      <c r="I237" s="299"/>
      <c r="J237" s="298" t="s">
        <v>1069</v>
      </c>
      <c r="K237" s="299"/>
      <c r="L237" s="300"/>
    </row>
    <row r="238" spans="1:12" ht="15" customHeight="1">
      <c r="A238" s="130" t="s">
        <v>708</v>
      </c>
      <c r="B238" s="130" t="s">
        <v>707</v>
      </c>
      <c r="C238" s="129">
        <v>0.5</v>
      </c>
      <c r="D238" s="1"/>
      <c r="E238" s="91">
        <f>G238+I238+K238</f>
        <v>127163</v>
      </c>
      <c r="F238" s="91">
        <f>H238+J238+L238</f>
        <v>63581</v>
      </c>
      <c r="G238" s="91">
        <f>H236</f>
        <v>111257</v>
      </c>
      <c r="H238" s="91">
        <f>INT(C238*G238)</f>
        <v>55628</v>
      </c>
      <c r="I238" s="91">
        <f>J236</f>
        <v>6684</v>
      </c>
      <c r="J238" s="91">
        <f>INT(C238*I238)</f>
        <v>3342</v>
      </c>
      <c r="K238" s="91">
        <f>L236</f>
        <v>9222</v>
      </c>
      <c r="L238" s="91">
        <f>INT(C238*K238)</f>
        <v>4611</v>
      </c>
    </row>
    <row r="239" spans="1:12" ht="15" customHeight="1">
      <c r="A239" s="129" t="s">
        <v>617</v>
      </c>
      <c r="B239" s="126"/>
      <c r="C239" s="129"/>
      <c r="D239" s="1"/>
      <c r="E239" s="301"/>
      <c r="F239" s="301">
        <f>H239+J239+L239</f>
        <v>63581</v>
      </c>
      <c r="G239" s="301"/>
      <c r="H239" s="301">
        <f>SUM(H238:H238)</f>
        <v>55628</v>
      </c>
      <c r="I239" s="301"/>
      <c r="J239" s="301">
        <f>SUM(J238:J238)</f>
        <v>3342</v>
      </c>
      <c r="K239" s="301"/>
      <c r="L239" s="301">
        <f>SUM(L238:L238)</f>
        <v>4611</v>
      </c>
    </row>
    <row r="240" spans="1:12" ht="15" customHeight="1">
      <c r="A240" s="209"/>
      <c r="B240" s="210"/>
      <c r="C240" s="95"/>
      <c r="D240" s="211"/>
      <c r="E240" s="212">
        <f>E237+1</f>
        <v>51</v>
      </c>
      <c r="F240" s="297" t="s">
        <v>2088</v>
      </c>
      <c r="G240" s="95"/>
      <c r="H240" s="298"/>
      <c r="I240" s="299"/>
      <c r="J240" s="298" t="s">
        <v>1069</v>
      </c>
      <c r="K240" s="299"/>
      <c r="L240" s="300"/>
    </row>
    <row r="241" spans="1:12" ht="15" customHeight="1">
      <c r="A241" s="130" t="s">
        <v>1771</v>
      </c>
      <c r="B241" s="130"/>
      <c r="C241" s="129"/>
      <c r="D241" s="1" t="s">
        <v>14</v>
      </c>
      <c r="E241" s="91">
        <f t="shared" ref="E241:F243" si="37">G241+I241+K241</f>
        <v>12855</v>
      </c>
      <c r="F241" s="91">
        <f t="shared" si="37"/>
        <v>0</v>
      </c>
      <c r="G241" s="91">
        <f>자재일람!F18</f>
        <v>11683</v>
      </c>
      <c r="H241" s="91">
        <f>INT(C241*G241)</f>
        <v>0</v>
      </c>
      <c r="I241" s="91">
        <f>자재일람!G18</f>
        <v>965</v>
      </c>
      <c r="J241" s="91">
        <f>INT(C241*I241)</f>
        <v>0</v>
      </c>
      <c r="K241" s="91">
        <f>자재일람!H18</f>
        <v>207</v>
      </c>
      <c r="L241" s="91">
        <f>INT(C241*K241)</f>
        <v>0</v>
      </c>
    </row>
    <row r="242" spans="1:12" ht="15" customHeight="1">
      <c r="A242" s="130" t="s">
        <v>1180</v>
      </c>
      <c r="B242" s="130" t="s">
        <v>2089</v>
      </c>
      <c r="C242" s="129">
        <v>1</v>
      </c>
      <c r="D242" s="1" t="s">
        <v>14</v>
      </c>
      <c r="E242" s="91">
        <f t="shared" si="37"/>
        <v>119278</v>
      </c>
      <c r="F242" s="91">
        <f t="shared" si="37"/>
        <v>119278</v>
      </c>
      <c r="G242" s="91">
        <f>기초일람!F75</f>
        <v>100502</v>
      </c>
      <c r="H242" s="91">
        <f>INT(C242*G242)</f>
        <v>100502</v>
      </c>
      <c r="I242" s="91">
        <f>기초일람!G75</f>
        <v>8084</v>
      </c>
      <c r="J242" s="91">
        <f>INT(C242*I242)</f>
        <v>8084</v>
      </c>
      <c r="K242" s="91">
        <f>기초일람!H75</f>
        <v>10692</v>
      </c>
      <c r="L242" s="91">
        <f>INT(C242*K242)</f>
        <v>10692</v>
      </c>
    </row>
    <row r="243" spans="1:12" ht="15" customHeight="1">
      <c r="A243" s="130" t="s">
        <v>3</v>
      </c>
      <c r="B243" s="130" t="s">
        <v>2089</v>
      </c>
      <c r="C243" s="134">
        <v>1</v>
      </c>
      <c r="D243" s="1" t="s">
        <v>14</v>
      </c>
      <c r="E243" s="91">
        <f t="shared" si="37"/>
        <v>0</v>
      </c>
      <c r="F243" s="91">
        <f t="shared" si="37"/>
        <v>0</v>
      </c>
      <c r="G243" s="91"/>
      <c r="H243" s="91">
        <f>INT(C243*G243)</f>
        <v>0</v>
      </c>
      <c r="I243" s="91"/>
      <c r="J243" s="91">
        <f>INT(C243*I243)</f>
        <v>0</v>
      </c>
      <c r="K243" s="91"/>
      <c r="L243" s="91">
        <f>INT(C243*K243)</f>
        <v>0</v>
      </c>
    </row>
    <row r="244" spans="1:12" ht="15" customHeight="1">
      <c r="A244" s="129" t="s">
        <v>617</v>
      </c>
      <c r="B244" s="126"/>
      <c r="C244" s="129"/>
      <c r="D244" s="1"/>
      <c r="E244" s="301"/>
      <c r="F244" s="301">
        <f>H244+J244+L244</f>
        <v>119278</v>
      </c>
      <c r="G244" s="301"/>
      <c r="H244" s="301">
        <f>SUM(H241:H243)</f>
        <v>100502</v>
      </c>
      <c r="I244" s="301"/>
      <c r="J244" s="301">
        <f>SUM(J241:J243)</f>
        <v>8084</v>
      </c>
      <c r="K244" s="301"/>
      <c r="L244" s="301">
        <f>SUM(L241:L243)</f>
        <v>10692</v>
      </c>
    </row>
    <row r="245" spans="1:12" ht="15" customHeight="1">
      <c r="A245" s="209"/>
      <c r="B245" s="210"/>
      <c r="C245" s="95"/>
      <c r="D245" s="211"/>
      <c r="E245" s="212">
        <f>E240+1</f>
        <v>52</v>
      </c>
      <c r="F245" s="297" t="s">
        <v>1770</v>
      </c>
      <c r="G245" s="95"/>
      <c r="H245" s="298"/>
      <c r="I245" s="299"/>
      <c r="J245" s="298" t="s">
        <v>1069</v>
      </c>
      <c r="K245" s="299"/>
      <c r="L245" s="300"/>
    </row>
    <row r="246" spans="1:12" ht="15" customHeight="1">
      <c r="A246" s="130" t="s">
        <v>1771</v>
      </c>
      <c r="B246" s="130"/>
      <c r="C246" s="129"/>
      <c r="D246" s="1" t="s">
        <v>14</v>
      </c>
      <c r="E246" s="91">
        <f t="shared" ref="E246:F248" si="38">G246+I246+K246</f>
        <v>28761</v>
      </c>
      <c r="F246" s="91">
        <f t="shared" si="38"/>
        <v>0</v>
      </c>
      <c r="G246" s="91">
        <f>자재일람!F23</f>
        <v>21456</v>
      </c>
      <c r="H246" s="91">
        <f>INT(C246*G246)</f>
        <v>0</v>
      </c>
      <c r="I246" s="91">
        <f>자재일람!G23</f>
        <v>6011</v>
      </c>
      <c r="J246" s="91">
        <f>INT(C246*I246)</f>
        <v>0</v>
      </c>
      <c r="K246" s="91">
        <f>자재일람!H23</f>
        <v>1294</v>
      </c>
      <c r="L246" s="91">
        <f>INT(C246*K246)</f>
        <v>0</v>
      </c>
    </row>
    <row r="247" spans="1:12" ht="15" customHeight="1">
      <c r="A247" s="130" t="s">
        <v>1180</v>
      </c>
      <c r="B247" s="130" t="s">
        <v>1769</v>
      </c>
      <c r="C247" s="129">
        <v>1</v>
      </c>
      <c r="D247" s="1" t="s">
        <v>14</v>
      </c>
      <c r="E247" s="91">
        <f t="shared" si="38"/>
        <v>150476</v>
      </c>
      <c r="F247" s="91">
        <f t="shared" si="38"/>
        <v>150476</v>
      </c>
      <c r="G247" s="91">
        <f>기초일람!F76</f>
        <v>126763</v>
      </c>
      <c r="H247" s="91">
        <f>INT(C247*G247)</f>
        <v>126763</v>
      </c>
      <c r="I247" s="91">
        <f>기초일람!G76</f>
        <v>10211</v>
      </c>
      <c r="J247" s="91">
        <f>INT(C247*I247)</f>
        <v>10211</v>
      </c>
      <c r="K247" s="91">
        <f>기초일람!H76</f>
        <v>13502</v>
      </c>
      <c r="L247" s="91">
        <f>INT(C247*K247)</f>
        <v>13502</v>
      </c>
    </row>
    <row r="248" spans="1:12" ht="15" customHeight="1">
      <c r="A248" s="130" t="s">
        <v>1778</v>
      </c>
      <c r="B248" s="130" t="s">
        <v>1769</v>
      </c>
      <c r="C248" s="134">
        <v>1</v>
      </c>
      <c r="D248" s="1" t="s">
        <v>14</v>
      </c>
      <c r="E248" s="91">
        <f t="shared" si="38"/>
        <v>0</v>
      </c>
      <c r="F248" s="91">
        <f t="shared" si="38"/>
        <v>0</v>
      </c>
      <c r="G248" s="91"/>
      <c r="H248" s="91">
        <f>INT(C248*G248)</f>
        <v>0</v>
      </c>
      <c r="I248" s="91"/>
      <c r="J248" s="91">
        <f>INT(C248*I248)</f>
        <v>0</v>
      </c>
      <c r="K248" s="91"/>
      <c r="L248" s="91">
        <f>INT(C248*K248)</f>
        <v>0</v>
      </c>
    </row>
    <row r="249" spans="1:12" ht="15" customHeight="1">
      <c r="A249" s="129" t="s">
        <v>617</v>
      </c>
      <c r="B249" s="126"/>
      <c r="C249" s="129"/>
      <c r="D249" s="1"/>
      <c r="E249" s="301"/>
      <c r="F249" s="301">
        <f>H249+J249+L249</f>
        <v>150476</v>
      </c>
      <c r="G249" s="301"/>
      <c r="H249" s="301">
        <f>SUM(H246:H248)</f>
        <v>126763</v>
      </c>
      <c r="I249" s="301"/>
      <c r="J249" s="301">
        <f>SUM(J246:J248)</f>
        <v>10211</v>
      </c>
      <c r="K249" s="301"/>
      <c r="L249" s="301">
        <f>SUM(L246:L248)</f>
        <v>13502</v>
      </c>
    </row>
    <row r="250" spans="1:12" ht="15" customHeight="1">
      <c r="A250" s="209"/>
      <c r="B250" s="210"/>
      <c r="C250" s="95"/>
      <c r="D250" s="211"/>
      <c r="E250" s="212">
        <f>E245+1</f>
        <v>53</v>
      </c>
      <c r="F250" s="297" t="s">
        <v>2079</v>
      </c>
      <c r="G250" s="95"/>
      <c r="H250" s="298"/>
      <c r="I250" s="299"/>
      <c r="J250" s="298" t="s">
        <v>1069</v>
      </c>
      <c r="K250" s="299"/>
      <c r="L250" s="300"/>
    </row>
    <row r="251" spans="1:12" ht="15" customHeight="1">
      <c r="A251" s="130" t="s">
        <v>1771</v>
      </c>
      <c r="B251" s="130"/>
      <c r="C251" s="129"/>
      <c r="D251" s="1" t="s">
        <v>14</v>
      </c>
      <c r="E251" s="91">
        <f t="shared" ref="E251:F253" si="39">G251+I251+K251</f>
        <v>28761</v>
      </c>
      <c r="F251" s="91">
        <f t="shared" si="39"/>
        <v>0</v>
      </c>
      <c r="G251" s="91">
        <f>G246</f>
        <v>21456</v>
      </c>
      <c r="H251" s="91">
        <f>INT(C251*G251)</f>
        <v>0</v>
      </c>
      <c r="I251" s="91">
        <f>I246</f>
        <v>6011</v>
      </c>
      <c r="J251" s="91">
        <f>INT(C251*I251)</f>
        <v>0</v>
      </c>
      <c r="K251" s="91">
        <f>K246</f>
        <v>1294</v>
      </c>
      <c r="L251" s="91">
        <f>INT(C251*K251)</f>
        <v>0</v>
      </c>
    </row>
    <row r="252" spans="1:12" ht="15" customHeight="1">
      <c r="A252" s="130" t="s">
        <v>1180</v>
      </c>
      <c r="B252" s="130" t="s">
        <v>2078</v>
      </c>
      <c r="C252" s="129">
        <v>1</v>
      </c>
      <c r="D252" s="1" t="s">
        <v>14</v>
      </c>
      <c r="E252" s="91">
        <f t="shared" si="39"/>
        <v>223760</v>
      </c>
      <c r="F252" s="91">
        <f t="shared" si="39"/>
        <v>223760</v>
      </c>
      <c r="G252" s="91">
        <f>기초일람!F77</f>
        <v>188445</v>
      </c>
      <c r="H252" s="91">
        <f>INT(C252*G252)</f>
        <v>188445</v>
      </c>
      <c r="I252" s="91">
        <f>기초일람!G77</f>
        <v>15210</v>
      </c>
      <c r="J252" s="91">
        <f>INT(C252*I252)</f>
        <v>15210</v>
      </c>
      <c r="K252" s="91">
        <f>기초일람!H77</f>
        <v>20105</v>
      </c>
      <c r="L252" s="91">
        <f>INT(C252*K252)</f>
        <v>20105</v>
      </c>
    </row>
    <row r="253" spans="1:12" ht="15" customHeight="1">
      <c r="A253" s="130" t="s">
        <v>3</v>
      </c>
      <c r="B253" s="130" t="s">
        <v>2078</v>
      </c>
      <c r="C253" s="134">
        <v>1</v>
      </c>
      <c r="D253" s="1" t="s">
        <v>14</v>
      </c>
      <c r="E253" s="91">
        <f t="shared" si="39"/>
        <v>0</v>
      </c>
      <c r="F253" s="91">
        <f t="shared" si="39"/>
        <v>0</v>
      </c>
      <c r="G253" s="91"/>
      <c r="H253" s="91">
        <f>INT(C253*G253)</f>
        <v>0</v>
      </c>
      <c r="I253" s="91"/>
      <c r="J253" s="91">
        <f>INT(C253*I253)</f>
        <v>0</v>
      </c>
      <c r="K253" s="91"/>
      <c r="L253" s="91">
        <f>INT(C253*K253)</f>
        <v>0</v>
      </c>
    </row>
    <row r="254" spans="1:12" ht="15" customHeight="1">
      <c r="A254" s="129" t="s">
        <v>617</v>
      </c>
      <c r="B254" s="126"/>
      <c r="C254" s="129"/>
      <c r="D254" s="1"/>
      <c r="E254" s="301"/>
      <c r="F254" s="301">
        <f>H254+J254+L254</f>
        <v>223760</v>
      </c>
      <c r="G254" s="301"/>
      <c r="H254" s="301">
        <f>SUM(H251:H253)</f>
        <v>188445</v>
      </c>
      <c r="I254" s="301"/>
      <c r="J254" s="301">
        <f>SUM(J251:J253)</f>
        <v>15210</v>
      </c>
      <c r="K254" s="301"/>
      <c r="L254" s="301">
        <f>SUM(L251:L253)</f>
        <v>20105</v>
      </c>
    </row>
    <row r="255" spans="1:12" ht="15" customHeight="1">
      <c r="A255" s="209"/>
      <c r="B255" s="210"/>
      <c r="C255" s="95"/>
      <c r="D255" s="211"/>
      <c r="E255" s="212">
        <f>E250+1</f>
        <v>54</v>
      </c>
      <c r="F255" s="297" t="s">
        <v>2184</v>
      </c>
      <c r="G255" s="95"/>
      <c r="H255" s="298"/>
      <c r="I255" s="299"/>
      <c r="J255" s="298" t="s">
        <v>1906</v>
      </c>
      <c r="K255" s="299"/>
      <c r="L255" s="300"/>
    </row>
    <row r="256" spans="1:12" ht="15" customHeight="1">
      <c r="A256" s="130" t="s">
        <v>1916</v>
      </c>
      <c r="B256" s="130"/>
      <c r="C256" s="129">
        <v>1</v>
      </c>
      <c r="D256" s="1" t="s">
        <v>1917</v>
      </c>
      <c r="E256" s="91">
        <f t="shared" ref="E256:F258" si="40">G256+I256+K256</f>
        <v>68795</v>
      </c>
      <c r="F256" s="91">
        <f t="shared" si="40"/>
        <v>68795</v>
      </c>
      <c r="G256" s="91">
        <f>자재일람!F24</f>
        <v>62553</v>
      </c>
      <c r="H256" s="91">
        <f>INT(C256*G256)</f>
        <v>62553</v>
      </c>
      <c r="I256" s="91">
        <f>자재일람!G24</f>
        <v>5136</v>
      </c>
      <c r="J256" s="91">
        <f>INT(C256*I256)</f>
        <v>5136</v>
      </c>
      <c r="K256" s="91">
        <f>자재일람!H24</f>
        <v>1106</v>
      </c>
      <c r="L256" s="91">
        <f>INT(C256*K256)</f>
        <v>1106</v>
      </c>
    </row>
    <row r="257" spans="1:12" ht="15" customHeight="1">
      <c r="A257" s="130" t="s">
        <v>1918</v>
      </c>
      <c r="B257" s="130" t="s">
        <v>2191</v>
      </c>
      <c r="C257" s="129">
        <v>1</v>
      </c>
      <c r="D257" s="1" t="s">
        <v>1917</v>
      </c>
      <c r="E257" s="91">
        <f t="shared" si="40"/>
        <v>127126</v>
      </c>
      <c r="F257" s="91">
        <f t="shared" si="40"/>
        <v>127126</v>
      </c>
      <c r="G257" s="91">
        <f>기초일람!F78</f>
        <v>114253</v>
      </c>
      <c r="H257" s="91">
        <f>INT(C257*G257)</f>
        <v>114253</v>
      </c>
      <c r="I257" s="91">
        <f>기초일람!G78</f>
        <v>5105</v>
      </c>
      <c r="J257" s="91">
        <f>INT(C257*I257)</f>
        <v>5105</v>
      </c>
      <c r="K257" s="91">
        <f>기초일람!H78</f>
        <v>7768</v>
      </c>
      <c r="L257" s="91">
        <f>INT(C257*K257)</f>
        <v>7768</v>
      </c>
    </row>
    <row r="258" spans="1:12" ht="15" customHeight="1">
      <c r="A258" s="130" t="s">
        <v>1919</v>
      </c>
      <c r="B258" s="130" t="s">
        <v>2192</v>
      </c>
      <c r="C258" s="134">
        <v>1</v>
      </c>
      <c r="D258" s="1" t="s">
        <v>1917</v>
      </c>
      <c r="E258" s="91">
        <f t="shared" si="40"/>
        <v>0</v>
      </c>
      <c r="F258" s="91">
        <f t="shared" si="40"/>
        <v>0</v>
      </c>
      <c r="G258" s="91"/>
      <c r="H258" s="91">
        <f>INT(C258*G258)</f>
        <v>0</v>
      </c>
      <c r="I258" s="91"/>
      <c r="J258" s="91">
        <f>INT(C258*I258)</f>
        <v>0</v>
      </c>
      <c r="K258" s="91"/>
      <c r="L258" s="91">
        <f>INT(C258*K258)</f>
        <v>0</v>
      </c>
    </row>
    <row r="259" spans="1:12" ht="15" customHeight="1">
      <c r="A259" s="129" t="s">
        <v>617</v>
      </c>
      <c r="B259" s="126"/>
      <c r="C259" s="129"/>
      <c r="D259" s="1"/>
      <c r="E259" s="301"/>
      <c r="F259" s="301">
        <f>H259+J259+L259</f>
        <v>195921</v>
      </c>
      <c r="G259" s="301"/>
      <c r="H259" s="301">
        <f>SUM(H256:H258)</f>
        <v>176806</v>
      </c>
      <c r="I259" s="301"/>
      <c r="J259" s="301">
        <f>SUM(J256:J258)</f>
        <v>10241</v>
      </c>
      <c r="K259" s="301"/>
      <c r="L259" s="301">
        <f>SUM(L256:L258)</f>
        <v>8874</v>
      </c>
    </row>
    <row r="260" spans="1:12" ht="15" customHeight="1">
      <c r="A260" s="209"/>
      <c r="B260" s="210"/>
      <c r="C260" s="95"/>
      <c r="D260" s="211"/>
      <c r="E260" s="212">
        <f>E255+1</f>
        <v>55</v>
      </c>
      <c r="F260" s="297" t="s">
        <v>1684</v>
      </c>
      <c r="G260" s="95"/>
      <c r="H260" s="298"/>
      <c r="I260" s="299"/>
      <c r="J260" s="298" t="s">
        <v>1069</v>
      </c>
      <c r="K260" s="299"/>
      <c r="L260" s="300"/>
    </row>
    <row r="261" spans="1:12" ht="15" customHeight="1">
      <c r="A261" s="130" t="s">
        <v>1528</v>
      </c>
      <c r="B261" s="130" t="s">
        <v>1685</v>
      </c>
      <c r="C261" s="129">
        <v>1.03</v>
      </c>
      <c r="D261" s="1" t="s">
        <v>14</v>
      </c>
      <c r="E261" s="91" t="s">
        <v>2223</v>
      </c>
      <c r="F261" s="91">
        <f t="shared" ref="E261:F265" si="41">H261+J261+L261</f>
        <v>50573</v>
      </c>
      <c r="G261" s="91">
        <v>0</v>
      </c>
      <c r="H261" s="91">
        <f>INT(C261*G261)</f>
        <v>0</v>
      </c>
      <c r="I261" s="91">
        <f>자재!F210</f>
        <v>49100</v>
      </c>
      <c r="J261" s="91">
        <f>INT(C261*I261)</f>
        <v>50573</v>
      </c>
      <c r="K261" s="91">
        <v>0</v>
      </c>
      <c r="L261" s="91">
        <f>INT(C261*K261)</f>
        <v>0</v>
      </c>
    </row>
    <row r="262" spans="1:12" ht="15" customHeight="1">
      <c r="A262" s="130" t="s">
        <v>1540</v>
      </c>
      <c r="B262" s="130" t="s">
        <v>1185</v>
      </c>
      <c r="C262" s="129">
        <v>0.26</v>
      </c>
      <c r="D262" s="1" t="s">
        <v>1186</v>
      </c>
      <c r="E262" s="91">
        <f t="shared" si="41"/>
        <v>90112</v>
      </c>
      <c r="F262" s="91">
        <f t="shared" si="41"/>
        <v>23428</v>
      </c>
      <c r="G262" s="91">
        <f>중기일람!D14</f>
        <v>49479</v>
      </c>
      <c r="H262" s="91">
        <f>INT(C262*G262)</f>
        <v>12864</v>
      </c>
      <c r="I262" s="91">
        <f>중기일람!E14</f>
        <v>18890</v>
      </c>
      <c r="J262" s="91">
        <f>INT(C262*I262)</f>
        <v>4911</v>
      </c>
      <c r="K262" s="91">
        <f>중기일람!F14</f>
        <v>21743</v>
      </c>
      <c r="L262" s="91">
        <f>INT(C262*K262)</f>
        <v>5653</v>
      </c>
    </row>
    <row r="263" spans="1:12" ht="15" customHeight="1">
      <c r="A263" s="130" t="s">
        <v>699</v>
      </c>
      <c r="B263" s="130"/>
      <c r="C263" s="134">
        <v>0.17</v>
      </c>
      <c r="D263" s="1" t="s">
        <v>30</v>
      </c>
      <c r="E263" s="91">
        <f t="shared" si="41"/>
        <v>238145</v>
      </c>
      <c r="F263" s="91">
        <f t="shared" si="41"/>
        <v>40484</v>
      </c>
      <c r="G263" s="91">
        <f>G270</f>
        <v>238145</v>
      </c>
      <c r="H263" s="91">
        <f>INT(C263*G263)</f>
        <v>40484</v>
      </c>
      <c r="I263" s="91"/>
      <c r="J263" s="91">
        <f>INT(C263*I263)</f>
        <v>0</v>
      </c>
      <c r="K263" s="91"/>
      <c r="L263" s="91">
        <f>INT(C263*K263)</f>
        <v>0</v>
      </c>
    </row>
    <row r="264" spans="1:12" ht="15" customHeight="1">
      <c r="A264" s="130" t="s">
        <v>27</v>
      </c>
      <c r="B264" s="304"/>
      <c r="C264" s="129">
        <v>7.0000000000000007E-2</v>
      </c>
      <c r="D264" s="1" t="s">
        <v>30</v>
      </c>
      <c r="E264" s="91">
        <f t="shared" si="41"/>
        <v>172068</v>
      </c>
      <c r="F264" s="91">
        <f t="shared" si="41"/>
        <v>12044</v>
      </c>
      <c r="G264" s="91">
        <f>G271</f>
        <v>172068</v>
      </c>
      <c r="H264" s="91">
        <f>INT(C264*G264)</f>
        <v>12044</v>
      </c>
      <c r="I264" s="91"/>
      <c r="J264" s="91">
        <f>INT(C264*I264)</f>
        <v>0</v>
      </c>
      <c r="K264" s="91"/>
      <c r="L264" s="91">
        <f>INT(C264*K264)</f>
        <v>0</v>
      </c>
    </row>
    <row r="265" spans="1:12" ht="15" customHeight="1">
      <c r="A265" s="130" t="s">
        <v>1543</v>
      </c>
      <c r="B265" s="304"/>
      <c r="C265" s="129">
        <v>1</v>
      </c>
      <c r="D265" s="1" t="s">
        <v>14</v>
      </c>
      <c r="E265" s="91">
        <f t="shared" si="41"/>
        <v>7558</v>
      </c>
      <c r="F265" s="91">
        <f t="shared" si="41"/>
        <v>7558</v>
      </c>
      <c r="G265" s="91">
        <f>자재일람!F11</f>
        <v>6862</v>
      </c>
      <c r="H265" s="91">
        <f>INT(C265*G265)</f>
        <v>6862</v>
      </c>
      <c r="I265" s="91">
        <f>자재일람!G11</f>
        <v>573</v>
      </c>
      <c r="J265" s="91">
        <f>INT(C265*I265)</f>
        <v>573</v>
      </c>
      <c r="K265" s="91">
        <f>자재일람!H11</f>
        <v>123</v>
      </c>
      <c r="L265" s="91">
        <f>INT(C265*K265)</f>
        <v>123</v>
      </c>
    </row>
    <row r="266" spans="1:12" ht="15" customHeight="1">
      <c r="A266" s="129" t="s">
        <v>617</v>
      </c>
      <c r="B266" s="126"/>
      <c r="C266" s="129"/>
      <c r="D266" s="1"/>
      <c r="E266" s="301"/>
      <c r="F266" s="301">
        <f>H266+J266+L266</f>
        <v>134087</v>
      </c>
      <c r="G266" s="301"/>
      <c r="H266" s="301">
        <f>SUM(H261:H265)</f>
        <v>72254</v>
      </c>
      <c r="I266" s="301"/>
      <c r="J266" s="301">
        <f>SUM(J261:J265)</f>
        <v>56057</v>
      </c>
      <c r="K266" s="301"/>
      <c r="L266" s="301">
        <f>SUM(L261:L265)</f>
        <v>5776</v>
      </c>
    </row>
    <row r="267" spans="1:12" ht="15" customHeight="1">
      <c r="A267" s="209"/>
      <c r="B267" s="210"/>
      <c r="C267" s="95"/>
      <c r="D267" s="211"/>
      <c r="E267" s="212">
        <f>E260+1</f>
        <v>56</v>
      </c>
      <c r="F267" s="297" t="s">
        <v>1679</v>
      </c>
      <c r="G267" s="95"/>
      <c r="H267" s="298"/>
      <c r="I267" s="299"/>
      <c r="J267" s="298" t="s">
        <v>1069</v>
      </c>
      <c r="K267" s="299"/>
      <c r="L267" s="300"/>
    </row>
    <row r="268" spans="1:12" ht="15" customHeight="1">
      <c r="A268" s="130" t="s">
        <v>1528</v>
      </c>
      <c r="B268" s="130" t="s">
        <v>1680</v>
      </c>
      <c r="C268" s="129">
        <v>1.03</v>
      </c>
      <c r="D268" s="1" t="s">
        <v>14</v>
      </c>
      <c r="E268" s="91">
        <f t="shared" ref="E268:F272" si="42">G268+I268+K268</f>
        <v>55490</v>
      </c>
      <c r="F268" s="91">
        <f t="shared" si="42"/>
        <v>57154</v>
      </c>
      <c r="G268" s="91">
        <v>0</v>
      </c>
      <c r="H268" s="91">
        <f>INT(C268*G268)</f>
        <v>0</v>
      </c>
      <c r="I268" s="91">
        <f>자재!F211</f>
        <v>55490</v>
      </c>
      <c r="J268" s="91">
        <f>INT(C268*I268)</f>
        <v>57154</v>
      </c>
      <c r="K268" s="91">
        <v>0</v>
      </c>
      <c r="L268" s="91">
        <f>INT(C268*K268)</f>
        <v>0</v>
      </c>
    </row>
    <row r="269" spans="1:12" ht="15" customHeight="1">
      <c r="A269" s="130" t="s">
        <v>1540</v>
      </c>
      <c r="B269" s="130" t="s">
        <v>1185</v>
      </c>
      <c r="C269" s="129">
        <v>0.33</v>
      </c>
      <c r="D269" s="1" t="s">
        <v>1186</v>
      </c>
      <c r="E269" s="91">
        <f t="shared" si="42"/>
        <v>90112</v>
      </c>
      <c r="F269" s="91">
        <f t="shared" si="42"/>
        <v>29736</v>
      </c>
      <c r="G269" s="91">
        <f>G262</f>
        <v>49479</v>
      </c>
      <c r="H269" s="91">
        <f>INT(C269*G269)</f>
        <v>16328</v>
      </c>
      <c r="I269" s="91">
        <f>I262</f>
        <v>18890</v>
      </c>
      <c r="J269" s="91">
        <f>INT(C269*I269)</f>
        <v>6233</v>
      </c>
      <c r="K269" s="91">
        <f>K262</f>
        <v>21743</v>
      </c>
      <c r="L269" s="91">
        <f>INT(C269*K269)</f>
        <v>7175</v>
      </c>
    </row>
    <row r="270" spans="1:12" ht="15" customHeight="1">
      <c r="A270" s="130" t="s">
        <v>699</v>
      </c>
      <c r="B270" s="130"/>
      <c r="C270" s="134">
        <v>0.22</v>
      </c>
      <c r="D270" s="1" t="s">
        <v>30</v>
      </c>
      <c r="E270" s="91">
        <f t="shared" si="42"/>
        <v>238145</v>
      </c>
      <c r="F270" s="91">
        <f t="shared" si="42"/>
        <v>52391</v>
      </c>
      <c r="G270" s="91">
        <f>노임!D4</f>
        <v>238145</v>
      </c>
      <c r="H270" s="91">
        <f>INT(C270*G270)</f>
        <v>52391</v>
      </c>
      <c r="I270" s="91"/>
      <c r="J270" s="91">
        <f>INT(C270*I270)</f>
        <v>0</v>
      </c>
      <c r="K270" s="91"/>
      <c r="L270" s="91">
        <f>INT(C270*K270)</f>
        <v>0</v>
      </c>
    </row>
    <row r="271" spans="1:12" ht="15" customHeight="1">
      <c r="A271" s="130" t="s">
        <v>27</v>
      </c>
      <c r="B271" s="304"/>
      <c r="C271" s="129">
        <v>0.09</v>
      </c>
      <c r="D271" s="1" t="s">
        <v>30</v>
      </c>
      <c r="E271" s="91">
        <f t="shared" si="42"/>
        <v>172068</v>
      </c>
      <c r="F271" s="91">
        <f t="shared" si="42"/>
        <v>15486</v>
      </c>
      <c r="G271" s="91">
        <f>노임!D14</f>
        <v>172068</v>
      </c>
      <c r="H271" s="91">
        <f>INT(C271*G271)</f>
        <v>15486</v>
      </c>
      <c r="I271" s="91"/>
      <c r="J271" s="91">
        <f>INT(C271*I271)</f>
        <v>0</v>
      </c>
      <c r="K271" s="91"/>
      <c r="L271" s="91">
        <f>INT(C271*K271)</f>
        <v>0</v>
      </c>
    </row>
    <row r="272" spans="1:12" ht="15" customHeight="1">
      <c r="A272" s="130" t="s">
        <v>1543</v>
      </c>
      <c r="B272" s="304"/>
      <c r="C272" s="129">
        <v>1</v>
      </c>
      <c r="D272" s="1" t="s">
        <v>14</v>
      </c>
      <c r="E272" s="91">
        <f t="shared" si="42"/>
        <v>7558</v>
      </c>
      <c r="F272" s="91">
        <f t="shared" si="42"/>
        <v>7558</v>
      </c>
      <c r="G272" s="91">
        <f>G265</f>
        <v>6862</v>
      </c>
      <c r="H272" s="91">
        <f>INT(C272*G272)</f>
        <v>6862</v>
      </c>
      <c r="I272" s="91">
        <f>I265</f>
        <v>573</v>
      </c>
      <c r="J272" s="91">
        <f>INT(C272*I272)</f>
        <v>573</v>
      </c>
      <c r="K272" s="91">
        <f>K265</f>
        <v>123</v>
      </c>
      <c r="L272" s="91">
        <f>INT(C272*K272)</f>
        <v>123</v>
      </c>
    </row>
    <row r="273" spans="1:12" ht="15" customHeight="1">
      <c r="A273" s="129" t="s">
        <v>617</v>
      </c>
      <c r="B273" s="126"/>
      <c r="C273" s="129"/>
      <c r="D273" s="1"/>
      <c r="E273" s="301"/>
      <c r="F273" s="301">
        <f>H273+J273+L273</f>
        <v>162325</v>
      </c>
      <c r="G273" s="301"/>
      <c r="H273" s="301">
        <f>SUM(H268:H272)</f>
        <v>91067</v>
      </c>
      <c r="I273" s="301"/>
      <c r="J273" s="301">
        <f>SUM(J268:J272)</f>
        <v>63960</v>
      </c>
      <c r="K273" s="301"/>
      <c r="L273" s="301">
        <f>SUM(L268:L272)</f>
        <v>7298</v>
      </c>
    </row>
    <row r="274" spans="1:12" ht="15" customHeight="1">
      <c r="A274" s="209"/>
      <c r="B274" s="210"/>
      <c r="C274" s="95"/>
      <c r="D274" s="211"/>
      <c r="E274" s="212">
        <f>E267+1</f>
        <v>57</v>
      </c>
      <c r="F274" s="297" t="s">
        <v>1681</v>
      </c>
      <c r="G274" s="95"/>
      <c r="H274" s="298"/>
      <c r="I274" s="299"/>
      <c r="J274" s="298" t="s">
        <v>1069</v>
      </c>
      <c r="K274" s="299"/>
      <c r="L274" s="300"/>
    </row>
    <row r="275" spans="1:12" ht="15" customHeight="1">
      <c r="A275" s="130" t="s">
        <v>1528</v>
      </c>
      <c r="B275" s="130" t="s">
        <v>1683</v>
      </c>
      <c r="C275" s="129">
        <v>1.03</v>
      </c>
      <c r="D275" s="1" t="s">
        <v>14</v>
      </c>
      <c r="E275" s="91">
        <f t="shared" ref="E275:F279" si="43">G275+I275+K275</f>
        <v>0</v>
      </c>
      <c r="F275" s="91">
        <f t="shared" si="43"/>
        <v>0</v>
      </c>
      <c r="G275" s="91">
        <v>0</v>
      </c>
      <c r="H275" s="91">
        <f>INT(C275*G275)</f>
        <v>0</v>
      </c>
      <c r="I275" s="91">
        <v>0</v>
      </c>
      <c r="J275" s="91">
        <f>INT(C275*I275)</f>
        <v>0</v>
      </c>
      <c r="K275" s="91">
        <v>0</v>
      </c>
      <c r="L275" s="91">
        <f>INT(C275*K275)</f>
        <v>0</v>
      </c>
    </row>
    <row r="276" spans="1:12" ht="15" customHeight="1">
      <c r="A276" s="130" t="s">
        <v>1540</v>
      </c>
      <c r="B276" s="130" t="s">
        <v>1185</v>
      </c>
      <c r="C276" s="129">
        <v>0.4</v>
      </c>
      <c r="D276" s="1" t="s">
        <v>1186</v>
      </c>
      <c r="E276" s="91">
        <f t="shared" si="43"/>
        <v>90112</v>
      </c>
      <c r="F276" s="91">
        <f t="shared" si="43"/>
        <v>36044</v>
      </c>
      <c r="G276" s="91">
        <f>G269</f>
        <v>49479</v>
      </c>
      <c r="H276" s="91">
        <f>INT(C276*G276)</f>
        <v>19791</v>
      </c>
      <c r="I276" s="91">
        <f>I269</f>
        <v>18890</v>
      </c>
      <c r="J276" s="91">
        <f>INT(C276*I276)</f>
        <v>7556</v>
      </c>
      <c r="K276" s="91">
        <f>K269</f>
        <v>21743</v>
      </c>
      <c r="L276" s="91">
        <f>INT(C276*K276)</f>
        <v>8697</v>
      </c>
    </row>
    <row r="277" spans="1:12" ht="15" customHeight="1">
      <c r="A277" s="130" t="s">
        <v>699</v>
      </c>
      <c r="B277" s="130"/>
      <c r="C277" s="134">
        <v>0.28000000000000003</v>
      </c>
      <c r="D277" s="1" t="s">
        <v>30</v>
      </c>
      <c r="E277" s="91">
        <f t="shared" si="43"/>
        <v>238145</v>
      </c>
      <c r="F277" s="91">
        <f t="shared" si="43"/>
        <v>66680</v>
      </c>
      <c r="G277" s="91">
        <f>G270</f>
        <v>238145</v>
      </c>
      <c r="H277" s="91">
        <f>INT(C277*G277)</f>
        <v>66680</v>
      </c>
      <c r="I277" s="91"/>
      <c r="J277" s="91">
        <f>INT(C277*I277)</f>
        <v>0</v>
      </c>
      <c r="K277" s="91"/>
      <c r="L277" s="91">
        <f>INT(C277*K277)</f>
        <v>0</v>
      </c>
    </row>
    <row r="278" spans="1:12" ht="15" customHeight="1">
      <c r="A278" s="130" t="s">
        <v>27</v>
      </c>
      <c r="B278" s="304"/>
      <c r="C278" s="129">
        <v>0.12</v>
      </c>
      <c r="D278" s="1" t="s">
        <v>30</v>
      </c>
      <c r="E278" s="91">
        <f t="shared" si="43"/>
        <v>172068</v>
      </c>
      <c r="F278" s="91">
        <f t="shared" si="43"/>
        <v>20648</v>
      </c>
      <c r="G278" s="91">
        <f>G271</f>
        <v>172068</v>
      </c>
      <c r="H278" s="91">
        <f>INT(C278*G278)</f>
        <v>20648</v>
      </c>
      <c r="I278" s="91"/>
      <c r="J278" s="91">
        <f>INT(C278*I278)</f>
        <v>0</v>
      </c>
      <c r="K278" s="91"/>
      <c r="L278" s="91">
        <f>INT(C278*K278)</f>
        <v>0</v>
      </c>
    </row>
    <row r="279" spans="1:12" ht="15" customHeight="1">
      <c r="A279" s="130" t="s">
        <v>1543</v>
      </c>
      <c r="B279" s="304"/>
      <c r="C279" s="129">
        <v>1</v>
      </c>
      <c r="D279" s="1" t="s">
        <v>14</v>
      </c>
      <c r="E279" s="91">
        <f t="shared" si="43"/>
        <v>7558</v>
      </c>
      <c r="F279" s="91">
        <f t="shared" si="43"/>
        <v>7558</v>
      </c>
      <c r="G279" s="91">
        <f>자재일람!F11</f>
        <v>6862</v>
      </c>
      <c r="H279" s="91">
        <f>INT(C279*G279)</f>
        <v>6862</v>
      </c>
      <c r="I279" s="91">
        <f>자재일람!G11</f>
        <v>573</v>
      </c>
      <c r="J279" s="91">
        <f>INT(C279*I279)</f>
        <v>573</v>
      </c>
      <c r="K279" s="91">
        <f>자재일람!H11</f>
        <v>123</v>
      </c>
      <c r="L279" s="91">
        <f>INT(C279*K279)</f>
        <v>123</v>
      </c>
    </row>
    <row r="280" spans="1:12" ht="15" customHeight="1">
      <c r="A280" s="129" t="s">
        <v>617</v>
      </c>
      <c r="B280" s="126"/>
      <c r="C280" s="129"/>
      <c r="D280" s="1"/>
      <c r="E280" s="301"/>
      <c r="F280" s="301">
        <f>H280+J280+L280</f>
        <v>130930</v>
      </c>
      <c r="G280" s="301"/>
      <c r="H280" s="301">
        <f>SUM(H275:H279)</f>
        <v>113981</v>
      </c>
      <c r="I280" s="301"/>
      <c r="J280" s="301">
        <f>SUM(J275:J279)</f>
        <v>8129</v>
      </c>
      <c r="K280" s="301"/>
      <c r="L280" s="301">
        <f>SUM(L275:L279)</f>
        <v>8820</v>
      </c>
    </row>
    <row r="281" spans="1:12" ht="15" customHeight="1">
      <c r="A281" s="209"/>
      <c r="B281" s="210"/>
      <c r="C281" s="95"/>
      <c r="D281" s="211"/>
      <c r="E281" s="212">
        <f>E274+1</f>
        <v>58</v>
      </c>
      <c r="F281" s="297" t="s">
        <v>1444</v>
      </c>
      <c r="G281" s="95"/>
      <c r="H281" s="298"/>
      <c r="I281" s="299"/>
      <c r="J281" s="298" t="s">
        <v>1539</v>
      </c>
      <c r="K281" s="299"/>
      <c r="L281" s="300"/>
    </row>
    <row r="282" spans="1:12" ht="15" customHeight="1">
      <c r="A282" s="130" t="s">
        <v>1528</v>
      </c>
      <c r="B282" s="130" t="s">
        <v>1682</v>
      </c>
      <c r="C282" s="129">
        <v>1.03</v>
      </c>
      <c r="D282" s="1" t="s">
        <v>14</v>
      </c>
      <c r="E282" s="91">
        <f t="shared" ref="E282:F286" si="44">G282+I282+K282</f>
        <v>98210</v>
      </c>
      <c r="F282" s="91">
        <f t="shared" si="44"/>
        <v>101156</v>
      </c>
      <c r="G282" s="91">
        <v>0</v>
      </c>
      <c r="H282" s="91">
        <f>INT(C282*G282)</f>
        <v>0</v>
      </c>
      <c r="I282" s="91">
        <f>자재!F213</f>
        <v>98210</v>
      </c>
      <c r="J282" s="91">
        <f>INT(C282*I282)</f>
        <v>101156</v>
      </c>
      <c r="K282" s="91">
        <v>0</v>
      </c>
      <c r="L282" s="91">
        <f>INT(C282*K282)</f>
        <v>0</v>
      </c>
    </row>
    <row r="283" spans="1:12" ht="15" customHeight="1">
      <c r="A283" s="130" t="s">
        <v>1540</v>
      </c>
      <c r="B283" s="130" t="s">
        <v>1544</v>
      </c>
      <c r="C283" s="129">
        <v>0.47</v>
      </c>
      <c r="D283" s="1" t="s">
        <v>1545</v>
      </c>
      <c r="E283" s="91">
        <f t="shared" si="44"/>
        <v>90112</v>
      </c>
      <c r="F283" s="91">
        <f t="shared" si="44"/>
        <v>42352</v>
      </c>
      <c r="G283" s="91">
        <f>G276</f>
        <v>49479</v>
      </c>
      <c r="H283" s="91">
        <f>INT(C283*G283)</f>
        <v>23255</v>
      </c>
      <c r="I283" s="91">
        <f>I276</f>
        <v>18890</v>
      </c>
      <c r="J283" s="91">
        <f>INT(C283*I283)</f>
        <v>8878</v>
      </c>
      <c r="K283" s="91">
        <f>K276</f>
        <v>21743</v>
      </c>
      <c r="L283" s="91">
        <f>INT(C283*K283)</f>
        <v>10219</v>
      </c>
    </row>
    <row r="284" spans="1:12" ht="15" customHeight="1">
      <c r="A284" s="130" t="s">
        <v>1541</v>
      </c>
      <c r="B284" s="130"/>
      <c r="C284" s="134">
        <v>0.37</v>
      </c>
      <c r="D284" s="1" t="s">
        <v>1546</v>
      </c>
      <c r="E284" s="91">
        <f t="shared" si="44"/>
        <v>238145</v>
      </c>
      <c r="F284" s="91">
        <f t="shared" si="44"/>
        <v>88113</v>
      </c>
      <c r="G284" s="91">
        <f>노임!D4</f>
        <v>238145</v>
      </c>
      <c r="H284" s="91">
        <f>INT(C284*G284)</f>
        <v>88113</v>
      </c>
      <c r="I284" s="91"/>
      <c r="J284" s="91">
        <f>INT(C284*I284)</f>
        <v>0</v>
      </c>
      <c r="K284" s="91"/>
      <c r="L284" s="91">
        <f>INT(C284*K284)</f>
        <v>0</v>
      </c>
    </row>
    <row r="285" spans="1:12" ht="15" customHeight="1">
      <c r="A285" s="130" t="s">
        <v>1542</v>
      </c>
      <c r="B285" s="304"/>
      <c r="C285" s="129">
        <v>0.15</v>
      </c>
      <c r="D285" s="1" t="s">
        <v>1546</v>
      </c>
      <c r="E285" s="91">
        <f t="shared" si="44"/>
        <v>172068</v>
      </c>
      <c r="F285" s="91">
        <f t="shared" si="44"/>
        <v>25810</v>
      </c>
      <c r="G285" s="91">
        <f>노임!D14</f>
        <v>172068</v>
      </c>
      <c r="H285" s="91">
        <f>INT(C285*G285)</f>
        <v>25810</v>
      </c>
      <c r="I285" s="91"/>
      <c r="J285" s="91">
        <f>INT(C285*I285)</f>
        <v>0</v>
      </c>
      <c r="K285" s="91"/>
      <c r="L285" s="91">
        <f>INT(C285*K285)</f>
        <v>0</v>
      </c>
    </row>
    <row r="286" spans="1:12" ht="15" customHeight="1">
      <c r="A286" s="130" t="s">
        <v>1543</v>
      </c>
      <c r="B286" s="304"/>
      <c r="C286" s="129">
        <v>1</v>
      </c>
      <c r="D286" s="1" t="s">
        <v>14</v>
      </c>
      <c r="E286" s="91">
        <f t="shared" si="44"/>
        <v>10959</v>
      </c>
      <c r="F286" s="91">
        <f t="shared" si="44"/>
        <v>10959</v>
      </c>
      <c r="G286" s="91">
        <f>자재일람!F12</f>
        <v>9968</v>
      </c>
      <c r="H286" s="91">
        <f>INT(C286*G286)</f>
        <v>9968</v>
      </c>
      <c r="I286" s="91">
        <f>자재일람!G12</f>
        <v>816</v>
      </c>
      <c r="J286" s="91">
        <f>INT(C286*I286)</f>
        <v>816</v>
      </c>
      <c r="K286" s="91">
        <f>자재일람!H12</f>
        <v>175</v>
      </c>
      <c r="L286" s="91">
        <f>INT(C286*K286)</f>
        <v>175</v>
      </c>
    </row>
    <row r="287" spans="1:12" ht="15" customHeight="1">
      <c r="A287" s="129" t="s">
        <v>617</v>
      </c>
      <c r="B287" s="126"/>
      <c r="C287" s="129"/>
      <c r="D287" s="1"/>
      <c r="E287" s="301"/>
      <c r="F287" s="301">
        <f>H287+J287+L287</f>
        <v>268390</v>
      </c>
      <c r="G287" s="301"/>
      <c r="H287" s="301">
        <f>SUM(H282:H286)</f>
        <v>147146</v>
      </c>
      <c r="I287" s="301"/>
      <c r="J287" s="301">
        <f>SUM(J282:J286)</f>
        <v>110850</v>
      </c>
      <c r="K287" s="301"/>
      <c r="L287" s="301">
        <f>SUM(L282:L286)</f>
        <v>10394</v>
      </c>
    </row>
    <row r="288" spans="1:12" ht="15" customHeight="1">
      <c r="A288" s="209"/>
      <c r="B288" s="210"/>
      <c r="C288" s="95"/>
      <c r="D288" s="211"/>
      <c r="E288" s="212">
        <f>E281+1</f>
        <v>59</v>
      </c>
      <c r="F288" s="297" t="s">
        <v>1783</v>
      </c>
      <c r="G288" s="95"/>
      <c r="H288" s="298"/>
      <c r="I288" s="299"/>
      <c r="J288" s="298" t="s">
        <v>1069</v>
      </c>
      <c r="K288" s="299"/>
      <c r="L288" s="300"/>
    </row>
    <row r="289" spans="1:12" ht="15" customHeight="1">
      <c r="A289" s="130" t="s">
        <v>1528</v>
      </c>
      <c r="B289" s="130" t="s">
        <v>1784</v>
      </c>
      <c r="C289" s="129">
        <v>1.03</v>
      </c>
      <c r="D289" s="1" t="s">
        <v>14</v>
      </c>
      <c r="E289" s="91">
        <f t="shared" ref="E289:F293" si="45">G289+I289+K289</f>
        <v>134200</v>
      </c>
      <c r="F289" s="91">
        <f t="shared" si="45"/>
        <v>138226</v>
      </c>
      <c r="G289" s="91">
        <v>0</v>
      </c>
      <c r="H289" s="91">
        <f>INT(C289*G289)</f>
        <v>0</v>
      </c>
      <c r="I289" s="91">
        <f>자재!F214</f>
        <v>134200</v>
      </c>
      <c r="J289" s="91">
        <f>INT(C289*I289)</f>
        <v>138226</v>
      </c>
      <c r="K289" s="91">
        <v>0</v>
      </c>
      <c r="L289" s="91">
        <f>INT(C289*K289)</f>
        <v>0</v>
      </c>
    </row>
    <row r="290" spans="1:12" ht="15" customHeight="1">
      <c r="A290" s="130" t="s">
        <v>1540</v>
      </c>
      <c r="B290" s="130" t="s">
        <v>1185</v>
      </c>
      <c r="C290" s="129">
        <v>0.53</v>
      </c>
      <c r="D290" s="1" t="s">
        <v>1186</v>
      </c>
      <c r="E290" s="91">
        <f t="shared" si="45"/>
        <v>90112</v>
      </c>
      <c r="F290" s="91">
        <f t="shared" si="45"/>
        <v>47757</v>
      </c>
      <c r="G290" s="91">
        <f>G283</f>
        <v>49479</v>
      </c>
      <c r="H290" s="91">
        <f>INT(C290*G290)</f>
        <v>26223</v>
      </c>
      <c r="I290" s="91">
        <f>I283</f>
        <v>18890</v>
      </c>
      <c r="J290" s="91">
        <f>INT(C290*I290)</f>
        <v>10011</v>
      </c>
      <c r="K290" s="91">
        <f>K283</f>
        <v>21743</v>
      </c>
      <c r="L290" s="91">
        <f>INT(C290*K290)</f>
        <v>11523</v>
      </c>
    </row>
    <row r="291" spans="1:12" ht="15" customHeight="1">
      <c r="A291" s="130" t="s">
        <v>699</v>
      </c>
      <c r="B291" s="130"/>
      <c r="C291" s="134">
        <v>0.49</v>
      </c>
      <c r="D291" s="1" t="s">
        <v>30</v>
      </c>
      <c r="E291" s="91">
        <f t="shared" si="45"/>
        <v>215907</v>
      </c>
      <c r="F291" s="91">
        <f t="shared" si="45"/>
        <v>105794</v>
      </c>
      <c r="G291" s="91">
        <f>노임!D11</f>
        <v>215907</v>
      </c>
      <c r="H291" s="91">
        <f>INT(C291*G291)</f>
        <v>105794</v>
      </c>
      <c r="I291" s="91"/>
      <c r="J291" s="91">
        <f>INT(C291*I291)</f>
        <v>0</v>
      </c>
      <c r="K291" s="91"/>
      <c r="L291" s="91">
        <f>INT(C291*K291)</f>
        <v>0</v>
      </c>
    </row>
    <row r="292" spans="1:12" ht="15" customHeight="1">
      <c r="A292" s="130" t="s">
        <v>27</v>
      </c>
      <c r="B292" s="304"/>
      <c r="C292" s="178">
        <v>0.2</v>
      </c>
      <c r="D292" s="1" t="s">
        <v>30</v>
      </c>
      <c r="E292" s="91">
        <f t="shared" si="45"/>
        <v>172068</v>
      </c>
      <c r="F292" s="91">
        <f t="shared" si="45"/>
        <v>34413</v>
      </c>
      <c r="G292" s="91">
        <f>G285</f>
        <v>172068</v>
      </c>
      <c r="H292" s="91">
        <f>INT(C292*G292)</f>
        <v>34413</v>
      </c>
      <c r="I292" s="91"/>
      <c r="J292" s="91">
        <f>INT(C292*I292)</f>
        <v>0</v>
      </c>
      <c r="K292" s="91"/>
      <c r="L292" s="91">
        <f>INT(C292*K292)</f>
        <v>0</v>
      </c>
    </row>
    <row r="293" spans="1:12" ht="15" customHeight="1">
      <c r="A293" s="130" t="s">
        <v>1543</v>
      </c>
      <c r="B293" s="304"/>
      <c r="C293" s="129">
        <v>1</v>
      </c>
      <c r="D293" s="1" t="s">
        <v>14</v>
      </c>
      <c r="E293" s="91">
        <f t="shared" si="45"/>
        <v>10959</v>
      </c>
      <c r="F293" s="91">
        <f t="shared" si="45"/>
        <v>10959</v>
      </c>
      <c r="G293" s="91">
        <f>G286</f>
        <v>9968</v>
      </c>
      <c r="H293" s="91">
        <f>INT(C293*G293)</f>
        <v>9968</v>
      </c>
      <c r="I293" s="91">
        <f>I286</f>
        <v>816</v>
      </c>
      <c r="J293" s="91">
        <f>INT(C293*I293)</f>
        <v>816</v>
      </c>
      <c r="K293" s="91">
        <f>K286</f>
        <v>175</v>
      </c>
      <c r="L293" s="91">
        <f>INT(C293*K293)</f>
        <v>175</v>
      </c>
    </row>
    <row r="294" spans="1:12" ht="15" customHeight="1">
      <c r="A294" s="129" t="s">
        <v>617</v>
      </c>
      <c r="B294" s="126"/>
      <c r="C294" s="129"/>
      <c r="D294" s="1"/>
      <c r="E294" s="301"/>
      <c r="F294" s="301">
        <f>H294+J294+L294</f>
        <v>337149</v>
      </c>
      <c r="G294" s="301"/>
      <c r="H294" s="301">
        <f>SUM(H289:H293)</f>
        <v>176398</v>
      </c>
      <c r="I294" s="301"/>
      <c r="J294" s="301">
        <f>SUM(J289:J293)</f>
        <v>149053</v>
      </c>
      <c r="K294" s="301"/>
      <c r="L294" s="301">
        <f>SUM(L289:L293)</f>
        <v>11698</v>
      </c>
    </row>
    <row r="295" spans="1:12" ht="15" customHeight="1">
      <c r="A295" s="209"/>
      <c r="B295" s="210"/>
      <c r="C295" s="95"/>
      <c r="D295" s="211"/>
      <c r="E295" s="212">
        <f>E288+1</f>
        <v>60</v>
      </c>
      <c r="F295" s="297" t="s">
        <v>1690</v>
      </c>
      <c r="G295" s="95"/>
      <c r="H295" s="298"/>
      <c r="I295" s="299"/>
      <c r="J295" s="298" t="s">
        <v>1069</v>
      </c>
      <c r="K295" s="299"/>
      <c r="L295" s="300"/>
    </row>
    <row r="296" spans="1:12" ht="15" customHeight="1">
      <c r="A296" s="130" t="s">
        <v>1528</v>
      </c>
      <c r="B296" s="130" t="s">
        <v>1691</v>
      </c>
      <c r="C296" s="129">
        <v>1.03</v>
      </c>
      <c r="D296" s="1" t="s">
        <v>14</v>
      </c>
      <c r="E296" s="91">
        <f t="shared" ref="E296:F300" si="46">G296+I296+K296</f>
        <v>0</v>
      </c>
      <c r="F296" s="91">
        <f t="shared" si="46"/>
        <v>0</v>
      </c>
      <c r="G296" s="91">
        <v>0</v>
      </c>
      <c r="H296" s="91">
        <f>INT(C296*G296)</f>
        <v>0</v>
      </c>
      <c r="I296" s="91">
        <v>0</v>
      </c>
      <c r="J296" s="91">
        <f>INT(C296*I296)</f>
        <v>0</v>
      </c>
      <c r="K296" s="91">
        <v>0</v>
      </c>
      <c r="L296" s="91">
        <f>INT(C296*K296)</f>
        <v>0</v>
      </c>
    </row>
    <row r="297" spans="1:12" ht="15" customHeight="1">
      <c r="A297" s="130" t="s">
        <v>1540</v>
      </c>
      <c r="B297" s="130" t="s">
        <v>1185</v>
      </c>
      <c r="C297" s="129">
        <v>0.6</v>
      </c>
      <c r="D297" s="1" t="s">
        <v>1186</v>
      </c>
      <c r="E297" s="91">
        <f t="shared" si="46"/>
        <v>90112</v>
      </c>
      <c r="F297" s="91">
        <f t="shared" si="46"/>
        <v>54066</v>
      </c>
      <c r="G297" s="91">
        <f>G283</f>
        <v>49479</v>
      </c>
      <c r="H297" s="91">
        <f>INT(C297*G297)</f>
        <v>29687</v>
      </c>
      <c r="I297" s="91">
        <f>I283</f>
        <v>18890</v>
      </c>
      <c r="J297" s="91">
        <f>INT(C297*I297)</f>
        <v>11334</v>
      </c>
      <c r="K297" s="91">
        <f>K283</f>
        <v>21743</v>
      </c>
      <c r="L297" s="91">
        <f>INT(C297*K297)</f>
        <v>13045</v>
      </c>
    </row>
    <row r="298" spans="1:12" ht="15" customHeight="1">
      <c r="A298" s="130" t="s">
        <v>699</v>
      </c>
      <c r="B298" s="130"/>
      <c r="C298" s="134">
        <v>0.65</v>
      </c>
      <c r="D298" s="1" t="s">
        <v>30</v>
      </c>
      <c r="E298" s="91">
        <f t="shared" si="46"/>
        <v>238145</v>
      </c>
      <c r="F298" s="91">
        <f t="shared" si="46"/>
        <v>154794</v>
      </c>
      <c r="G298" s="91">
        <f>G284</f>
        <v>238145</v>
      </c>
      <c r="H298" s="91">
        <f>INT(C298*G298)</f>
        <v>154794</v>
      </c>
      <c r="I298" s="91"/>
      <c r="J298" s="91">
        <f>INT(C298*I298)</f>
        <v>0</v>
      </c>
      <c r="K298" s="91"/>
      <c r="L298" s="91">
        <f>INT(C298*K298)</f>
        <v>0</v>
      </c>
    </row>
    <row r="299" spans="1:12" ht="15" customHeight="1">
      <c r="A299" s="130" t="s">
        <v>27</v>
      </c>
      <c r="B299" s="304"/>
      <c r="C299" s="129">
        <v>0.26</v>
      </c>
      <c r="D299" s="1" t="s">
        <v>30</v>
      </c>
      <c r="E299" s="91">
        <f t="shared" si="46"/>
        <v>172068</v>
      </c>
      <c r="F299" s="91">
        <f t="shared" si="46"/>
        <v>44737</v>
      </c>
      <c r="G299" s="91">
        <f>G285</f>
        <v>172068</v>
      </c>
      <c r="H299" s="91">
        <f>INT(C299*G299)</f>
        <v>44737</v>
      </c>
      <c r="I299" s="91"/>
      <c r="J299" s="91">
        <f>INT(C299*I299)</f>
        <v>0</v>
      </c>
      <c r="K299" s="91"/>
      <c r="L299" s="91">
        <f>INT(C299*K299)</f>
        <v>0</v>
      </c>
    </row>
    <row r="300" spans="1:12" ht="15" customHeight="1">
      <c r="A300" s="130" t="s">
        <v>1543</v>
      </c>
      <c r="B300" s="304"/>
      <c r="C300" s="129">
        <v>1</v>
      </c>
      <c r="D300" s="1" t="s">
        <v>14</v>
      </c>
      <c r="E300" s="91">
        <f t="shared" si="46"/>
        <v>19261</v>
      </c>
      <c r="F300" s="91">
        <f t="shared" si="46"/>
        <v>19261</v>
      </c>
      <c r="G300" s="91">
        <f>자재일람!F13</f>
        <v>17516</v>
      </c>
      <c r="H300" s="91">
        <f>INT(C300*G300)</f>
        <v>17516</v>
      </c>
      <c r="I300" s="91">
        <f>자재일람!G13</f>
        <v>1436</v>
      </c>
      <c r="J300" s="91">
        <f>INT(C300*I300)</f>
        <v>1436</v>
      </c>
      <c r="K300" s="91">
        <f>자재일람!H13</f>
        <v>309</v>
      </c>
      <c r="L300" s="91">
        <f>INT(C300*K300)</f>
        <v>309</v>
      </c>
    </row>
    <row r="301" spans="1:12" ht="15" customHeight="1">
      <c r="A301" s="129" t="s">
        <v>617</v>
      </c>
      <c r="B301" s="126"/>
      <c r="C301" s="129"/>
      <c r="D301" s="1"/>
      <c r="E301" s="301"/>
      <c r="F301" s="301">
        <f>H301+J301+L301</f>
        <v>272858</v>
      </c>
      <c r="G301" s="301"/>
      <c r="H301" s="301">
        <f>SUM(H296:H300)</f>
        <v>246734</v>
      </c>
      <c r="I301" s="301"/>
      <c r="J301" s="301">
        <f>SUM(J296:J300)</f>
        <v>12770</v>
      </c>
      <c r="K301" s="301"/>
      <c r="L301" s="301">
        <f>SUM(L296:L300)</f>
        <v>13354</v>
      </c>
    </row>
    <row r="302" spans="1:12" ht="15" customHeight="1">
      <c r="A302" s="209"/>
      <c r="B302" s="210"/>
      <c r="C302" s="95"/>
      <c r="D302" s="211"/>
      <c r="E302" s="212">
        <f>E295+1</f>
        <v>61</v>
      </c>
      <c r="F302" s="297" t="s">
        <v>46</v>
      </c>
      <c r="G302" s="95"/>
      <c r="H302" s="298" t="s">
        <v>1996</v>
      </c>
      <c r="I302" s="299"/>
      <c r="J302" s="298" t="s">
        <v>1539</v>
      </c>
      <c r="K302" s="299"/>
      <c r="L302" s="300"/>
    </row>
    <row r="303" spans="1:12" ht="15" customHeight="1">
      <c r="A303" s="130" t="s">
        <v>1528</v>
      </c>
      <c r="B303" s="130" t="s">
        <v>45</v>
      </c>
      <c r="C303" s="129">
        <v>1.03</v>
      </c>
      <c r="D303" s="1" t="s">
        <v>14</v>
      </c>
      <c r="E303" s="91">
        <f t="shared" ref="E303:F307" si="47">G303+I303+K303</f>
        <v>0</v>
      </c>
      <c r="F303" s="91">
        <f t="shared" si="47"/>
        <v>0</v>
      </c>
      <c r="G303" s="91">
        <v>0</v>
      </c>
      <c r="H303" s="91">
        <f>INT(C303*G303)</f>
        <v>0</v>
      </c>
      <c r="I303" s="91"/>
      <c r="J303" s="91">
        <f>INT(C303*I303)</f>
        <v>0</v>
      </c>
      <c r="K303" s="91">
        <v>0</v>
      </c>
      <c r="L303" s="91">
        <f>INT(C303*K303)</f>
        <v>0</v>
      </c>
    </row>
    <row r="304" spans="1:12" ht="15" customHeight="1">
      <c r="A304" s="130" t="s">
        <v>1540</v>
      </c>
      <c r="B304" s="130" t="s">
        <v>1751</v>
      </c>
      <c r="C304" s="129">
        <v>0.74</v>
      </c>
      <c r="D304" s="1" t="s">
        <v>1545</v>
      </c>
      <c r="E304" s="91">
        <f t="shared" si="47"/>
        <v>95710</v>
      </c>
      <c r="F304" s="91">
        <f t="shared" si="47"/>
        <v>70824</v>
      </c>
      <c r="G304" s="91">
        <f>중기일람!D15</f>
        <v>49479</v>
      </c>
      <c r="H304" s="91">
        <f>INT(C304*G304)</f>
        <v>36614</v>
      </c>
      <c r="I304" s="91">
        <f>중기일람!E15</f>
        <v>20174</v>
      </c>
      <c r="J304" s="91">
        <f>INT(C304*I304)</f>
        <v>14928</v>
      </c>
      <c r="K304" s="91">
        <f>중기일람!F15</f>
        <v>26057</v>
      </c>
      <c r="L304" s="91">
        <f>INT(C304*K304)</f>
        <v>19282</v>
      </c>
    </row>
    <row r="305" spans="1:12" ht="15" customHeight="1">
      <c r="A305" s="130" t="s">
        <v>1541</v>
      </c>
      <c r="B305" s="130"/>
      <c r="C305" s="134">
        <v>1.1299999999999999</v>
      </c>
      <c r="D305" s="1" t="s">
        <v>1546</v>
      </c>
      <c r="E305" s="91">
        <f t="shared" si="47"/>
        <v>238145</v>
      </c>
      <c r="F305" s="91">
        <f t="shared" si="47"/>
        <v>269103</v>
      </c>
      <c r="G305" s="91">
        <f>G284</f>
        <v>238145</v>
      </c>
      <c r="H305" s="91">
        <f>INT(C305*G305)</f>
        <v>269103</v>
      </c>
      <c r="I305" s="91"/>
      <c r="J305" s="91">
        <f>INT(C305*I305)</f>
        <v>0</v>
      </c>
      <c r="K305" s="91"/>
      <c r="L305" s="91">
        <f>INT(C305*K305)</f>
        <v>0</v>
      </c>
    </row>
    <row r="306" spans="1:12" ht="15" customHeight="1">
      <c r="A306" s="130" t="s">
        <v>1542</v>
      </c>
      <c r="B306" s="304"/>
      <c r="C306" s="129">
        <v>0.45</v>
      </c>
      <c r="D306" s="1" t="s">
        <v>1546</v>
      </c>
      <c r="E306" s="91">
        <f t="shared" si="47"/>
        <v>172068</v>
      </c>
      <c r="F306" s="91">
        <f t="shared" si="47"/>
        <v>77430</v>
      </c>
      <c r="G306" s="91">
        <f>G285</f>
        <v>172068</v>
      </c>
      <c r="H306" s="91">
        <f>INT(C306*G306)</f>
        <v>77430</v>
      </c>
      <c r="I306" s="91"/>
      <c r="J306" s="91">
        <f>INT(C306*I306)</f>
        <v>0</v>
      </c>
      <c r="K306" s="91"/>
      <c r="L306" s="91">
        <f>INT(C306*K306)</f>
        <v>0</v>
      </c>
    </row>
    <row r="307" spans="1:12" ht="15" customHeight="1">
      <c r="A307" s="130" t="s">
        <v>1543</v>
      </c>
      <c r="B307" s="304"/>
      <c r="C307" s="129">
        <v>1</v>
      </c>
      <c r="D307" s="1" t="s">
        <v>14</v>
      </c>
      <c r="E307" s="91">
        <f t="shared" si="47"/>
        <v>29941</v>
      </c>
      <c r="F307" s="91">
        <f t="shared" si="47"/>
        <v>29941</v>
      </c>
      <c r="G307" s="91">
        <f>자재일람!F14</f>
        <v>27231</v>
      </c>
      <c r="H307" s="91">
        <f>INT(C307*G307)</f>
        <v>27231</v>
      </c>
      <c r="I307" s="91">
        <f>자재일람!G14</f>
        <v>2230</v>
      </c>
      <c r="J307" s="91">
        <f>INT(C307*I307)</f>
        <v>2230</v>
      </c>
      <c r="K307" s="91">
        <f>자재일람!H14</f>
        <v>480</v>
      </c>
      <c r="L307" s="91">
        <f>INT(C307*K307)</f>
        <v>480</v>
      </c>
    </row>
    <row r="308" spans="1:12" ht="15" customHeight="1">
      <c r="A308" s="129" t="s">
        <v>617</v>
      </c>
      <c r="B308" s="126"/>
      <c r="C308" s="129"/>
      <c r="D308" s="1"/>
      <c r="E308" s="301"/>
      <c r="F308" s="301">
        <f>H308+J308+L308</f>
        <v>447298</v>
      </c>
      <c r="G308" s="301"/>
      <c r="H308" s="301">
        <f>SUM(H303:H307)</f>
        <v>410378</v>
      </c>
      <c r="I308" s="301"/>
      <c r="J308" s="301">
        <f>SUM(J303:J307)</f>
        <v>17158</v>
      </c>
      <c r="K308" s="301"/>
      <c r="L308" s="301">
        <f>SUM(L303:L307)</f>
        <v>19762</v>
      </c>
    </row>
    <row r="309" spans="1:12" ht="15" customHeight="1">
      <c r="A309" s="209"/>
      <c r="B309" s="210"/>
      <c r="C309" s="95"/>
      <c r="D309" s="211"/>
      <c r="E309" s="212">
        <f>E302+1</f>
        <v>62</v>
      </c>
      <c r="F309" s="297" t="s">
        <v>1792</v>
      </c>
      <c r="G309" s="95"/>
      <c r="H309" s="298"/>
      <c r="I309" s="299"/>
      <c r="J309" s="298" t="s">
        <v>1069</v>
      </c>
      <c r="K309" s="299"/>
      <c r="L309" s="300"/>
    </row>
    <row r="310" spans="1:12" ht="15" customHeight="1">
      <c r="A310" s="130" t="s">
        <v>1528</v>
      </c>
      <c r="B310" s="130" t="s">
        <v>1794</v>
      </c>
      <c r="C310" s="129">
        <v>1.03</v>
      </c>
      <c r="D310" s="1" t="s">
        <v>14</v>
      </c>
      <c r="E310" s="91">
        <f t="shared" ref="E310:F314" si="48">G310+I310+K310</f>
        <v>384390</v>
      </c>
      <c r="F310" s="91">
        <f t="shared" si="48"/>
        <v>395921</v>
      </c>
      <c r="G310" s="91">
        <v>0</v>
      </c>
      <c r="H310" s="91">
        <f>INT(C310*G310)</f>
        <v>0</v>
      </c>
      <c r="I310" s="91">
        <f>자재!F218</f>
        <v>384390</v>
      </c>
      <c r="J310" s="91">
        <f>INT(C310*I310)</f>
        <v>395921</v>
      </c>
      <c r="K310" s="91">
        <v>0</v>
      </c>
      <c r="L310" s="91">
        <f>INT(C310*K310)</f>
        <v>0</v>
      </c>
    </row>
    <row r="311" spans="1:12" ht="15" customHeight="1">
      <c r="A311" s="130" t="s">
        <v>1540</v>
      </c>
      <c r="B311" s="130" t="s">
        <v>1751</v>
      </c>
      <c r="C311" s="129">
        <v>1.1599999999999999</v>
      </c>
      <c r="D311" s="1" t="s">
        <v>1186</v>
      </c>
      <c r="E311" s="91">
        <f t="shared" si="48"/>
        <v>77886</v>
      </c>
      <c r="F311" s="91">
        <f t="shared" si="48"/>
        <v>90346</v>
      </c>
      <c r="G311" s="91">
        <f>중기일람!D23</f>
        <v>57077</v>
      </c>
      <c r="H311" s="91">
        <f>INT(C311*G311)</f>
        <v>66209</v>
      </c>
      <c r="I311" s="91">
        <f>중기일람!E23</f>
        <v>17729</v>
      </c>
      <c r="J311" s="91">
        <f>INT(C311*I311)</f>
        <v>20565</v>
      </c>
      <c r="K311" s="91">
        <f>중기일람!F23</f>
        <v>3080</v>
      </c>
      <c r="L311" s="91">
        <f>INT(C311*K311)</f>
        <v>3572</v>
      </c>
    </row>
    <row r="312" spans="1:12" ht="15" customHeight="1">
      <c r="A312" s="130" t="s">
        <v>699</v>
      </c>
      <c r="B312" s="130"/>
      <c r="C312" s="134">
        <v>1.1100000000000001</v>
      </c>
      <c r="D312" s="1" t="s">
        <v>30</v>
      </c>
      <c r="E312" s="91">
        <f t="shared" si="48"/>
        <v>215907</v>
      </c>
      <c r="F312" s="91">
        <f t="shared" si="48"/>
        <v>239656</v>
      </c>
      <c r="G312" s="91">
        <f>G291</f>
        <v>215907</v>
      </c>
      <c r="H312" s="91">
        <f>INT(C312*G312)</f>
        <v>239656</v>
      </c>
      <c r="I312" s="91"/>
      <c r="J312" s="91">
        <f>INT(C312*I312)</f>
        <v>0</v>
      </c>
      <c r="K312" s="91"/>
      <c r="L312" s="91">
        <f>INT(C312*K312)</f>
        <v>0</v>
      </c>
    </row>
    <row r="313" spans="1:12" ht="15" customHeight="1">
      <c r="A313" s="130" t="s">
        <v>27</v>
      </c>
      <c r="B313" s="304"/>
      <c r="C313" s="129">
        <v>0.45</v>
      </c>
      <c r="D313" s="1" t="s">
        <v>30</v>
      </c>
      <c r="E313" s="91">
        <f t="shared" si="48"/>
        <v>172068</v>
      </c>
      <c r="F313" s="91">
        <f t="shared" si="48"/>
        <v>77430</v>
      </c>
      <c r="G313" s="91">
        <f>G292</f>
        <v>172068</v>
      </c>
      <c r="H313" s="91">
        <f>INT(C313*G313)</f>
        <v>77430</v>
      </c>
      <c r="I313" s="91"/>
      <c r="J313" s="91">
        <f>INT(C313*I313)</f>
        <v>0</v>
      </c>
      <c r="K313" s="91"/>
      <c r="L313" s="91">
        <f>INT(C313*K313)</f>
        <v>0</v>
      </c>
    </row>
    <row r="314" spans="1:12" ht="15" customHeight="1">
      <c r="A314" s="130" t="s">
        <v>1543</v>
      </c>
      <c r="B314" s="304"/>
      <c r="C314" s="129">
        <v>1</v>
      </c>
      <c r="D314" s="1" t="s">
        <v>14</v>
      </c>
      <c r="E314" s="91">
        <f t="shared" si="48"/>
        <v>29941</v>
      </c>
      <c r="F314" s="91">
        <f t="shared" si="48"/>
        <v>29941</v>
      </c>
      <c r="G314" s="91">
        <f>G307</f>
        <v>27231</v>
      </c>
      <c r="H314" s="91">
        <f>INT(C314*G314)</f>
        <v>27231</v>
      </c>
      <c r="I314" s="91">
        <f>I307</f>
        <v>2230</v>
      </c>
      <c r="J314" s="91">
        <f>INT(C314*I314)</f>
        <v>2230</v>
      </c>
      <c r="K314" s="91">
        <f>K307</f>
        <v>480</v>
      </c>
      <c r="L314" s="91">
        <f>INT(C314*K314)</f>
        <v>480</v>
      </c>
    </row>
    <row r="315" spans="1:12" ht="15" customHeight="1">
      <c r="A315" s="129" t="s">
        <v>617</v>
      </c>
      <c r="B315" s="126"/>
      <c r="C315" s="129"/>
      <c r="D315" s="1"/>
      <c r="E315" s="301"/>
      <c r="F315" s="301">
        <f>H315+J315+L315</f>
        <v>833294</v>
      </c>
      <c r="G315" s="301"/>
      <c r="H315" s="301">
        <f>SUM(H310:H314)</f>
        <v>410526</v>
      </c>
      <c r="I315" s="301"/>
      <c r="J315" s="301">
        <f>SUM(J310:J314)</f>
        <v>418716</v>
      </c>
      <c r="K315" s="301"/>
      <c r="L315" s="301">
        <f>SUM(L310:L314)</f>
        <v>4052</v>
      </c>
    </row>
    <row r="316" spans="1:12" ht="15" customHeight="1">
      <c r="A316" s="209"/>
      <c r="B316" s="210"/>
      <c r="C316" s="95"/>
      <c r="D316" s="211"/>
      <c r="E316" s="212">
        <f>E309+1</f>
        <v>63</v>
      </c>
      <c r="F316" s="297" t="s">
        <v>2509</v>
      </c>
      <c r="G316" s="95"/>
      <c r="H316" s="298"/>
      <c r="I316" s="299"/>
      <c r="J316" s="298" t="s">
        <v>1069</v>
      </c>
      <c r="K316" s="299"/>
      <c r="L316" s="300"/>
    </row>
    <row r="317" spans="1:12" ht="15" customHeight="1">
      <c r="A317" s="130" t="s">
        <v>1528</v>
      </c>
      <c r="B317" s="130" t="s">
        <v>2503</v>
      </c>
      <c r="C317" s="129">
        <v>1.03</v>
      </c>
      <c r="D317" s="1" t="s">
        <v>14</v>
      </c>
      <c r="E317" s="91">
        <f t="shared" ref="E317:F321" si="49">G317+I317+K317</f>
        <v>0</v>
      </c>
      <c r="F317" s="91">
        <f t="shared" si="49"/>
        <v>0</v>
      </c>
      <c r="G317" s="91">
        <v>0</v>
      </c>
      <c r="H317" s="91">
        <f>INT(C317*G317)</f>
        <v>0</v>
      </c>
      <c r="I317" s="91">
        <v>0</v>
      </c>
      <c r="J317" s="91">
        <f>INT(C317*I317)</f>
        <v>0</v>
      </c>
      <c r="K317" s="91">
        <v>0</v>
      </c>
      <c r="L317" s="91">
        <f>INT(C317*K317)</f>
        <v>0</v>
      </c>
    </row>
    <row r="318" spans="1:12" ht="15" customHeight="1">
      <c r="A318" s="130" t="s">
        <v>1540</v>
      </c>
      <c r="B318" s="130" t="s">
        <v>1751</v>
      </c>
      <c r="C318" s="129">
        <v>1.46</v>
      </c>
      <c r="D318" s="1" t="s">
        <v>1186</v>
      </c>
      <c r="E318" s="91">
        <f t="shared" si="49"/>
        <v>95710</v>
      </c>
      <c r="F318" s="91">
        <f t="shared" si="49"/>
        <v>139736</v>
      </c>
      <c r="G318" s="91">
        <f>G304</f>
        <v>49479</v>
      </c>
      <c r="H318" s="91">
        <f>INT(C318*G318)</f>
        <v>72239</v>
      </c>
      <c r="I318" s="91">
        <f>I304</f>
        <v>20174</v>
      </c>
      <c r="J318" s="91">
        <f>INT(C318*I318)</f>
        <v>29454</v>
      </c>
      <c r="K318" s="91">
        <f>K304</f>
        <v>26057</v>
      </c>
      <c r="L318" s="91">
        <f>INT(C318*K318)</f>
        <v>38043</v>
      </c>
    </row>
    <row r="319" spans="1:12" ht="15" customHeight="1">
      <c r="A319" s="130" t="s">
        <v>699</v>
      </c>
      <c r="B319" s="130"/>
      <c r="C319" s="134">
        <v>1.41</v>
      </c>
      <c r="D319" s="1" t="s">
        <v>30</v>
      </c>
      <c r="E319" s="91">
        <f t="shared" si="49"/>
        <v>238145</v>
      </c>
      <c r="F319" s="91">
        <f t="shared" si="49"/>
        <v>335784</v>
      </c>
      <c r="G319" s="91">
        <f>G298</f>
        <v>238145</v>
      </c>
      <c r="H319" s="91">
        <f>INT(C319*G319)</f>
        <v>335784</v>
      </c>
      <c r="I319" s="91"/>
      <c r="J319" s="91">
        <f>INT(C319*I319)</f>
        <v>0</v>
      </c>
      <c r="K319" s="91"/>
      <c r="L319" s="91">
        <f>INT(C319*K319)</f>
        <v>0</v>
      </c>
    </row>
    <row r="320" spans="1:12" ht="15" customHeight="1">
      <c r="A320" s="130" t="s">
        <v>27</v>
      </c>
      <c r="B320" s="304"/>
      <c r="C320" s="178">
        <v>0.56999999999999995</v>
      </c>
      <c r="D320" s="1" t="s">
        <v>30</v>
      </c>
      <c r="E320" s="91">
        <f t="shared" si="49"/>
        <v>172068</v>
      </c>
      <c r="F320" s="91">
        <f t="shared" si="49"/>
        <v>98078</v>
      </c>
      <c r="G320" s="91">
        <f>G299</f>
        <v>172068</v>
      </c>
      <c r="H320" s="91">
        <f>INT(C320*G320)</f>
        <v>98078</v>
      </c>
      <c r="I320" s="91"/>
      <c r="J320" s="91">
        <f>INT(C320*I320)</f>
        <v>0</v>
      </c>
      <c r="K320" s="91"/>
      <c r="L320" s="91">
        <f>INT(C320*K320)</f>
        <v>0</v>
      </c>
    </row>
    <row r="321" spans="1:13" ht="15" customHeight="1">
      <c r="A321" s="130" t="s">
        <v>1543</v>
      </c>
      <c r="B321" s="304"/>
      <c r="C321" s="129">
        <v>1</v>
      </c>
      <c r="D321" s="1" t="s">
        <v>14</v>
      </c>
      <c r="E321" s="91">
        <f t="shared" si="49"/>
        <v>29941</v>
      </c>
      <c r="F321" s="91">
        <f t="shared" si="49"/>
        <v>29941</v>
      </c>
      <c r="G321" s="91">
        <f>G307</f>
        <v>27231</v>
      </c>
      <c r="H321" s="91">
        <f>INT(C321*G321)</f>
        <v>27231</v>
      </c>
      <c r="I321" s="91">
        <f>I307</f>
        <v>2230</v>
      </c>
      <c r="J321" s="91">
        <f>INT(C321*I321)</f>
        <v>2230</v>
      </c>
      <c r="K321" s="91">
        <f>K307</f>
        <v>480</v>
      </c>
      <c r="L321" s="91">
        <f>INT(C321*K321)</f>
        <v>480</v>
      </c>
    </row>
    <row r="322" spans="1:13" ht="15" customHeight="1">
      <c r="A322" s="129" t="s">
        <v>617</v>
      </c>
      <c r="B322" s="126"/>
      <c r="C322" s="129"/>
      <c r="D322" s="1"/>
      <c r="E322" s="301"/>
      <c r="F322" s="301">
        <f>H322+J322+L322</f>
        <v>603539</v>
      </c>
      <c r="G322" s="301"/>
      <c r="H322" s="301">
        <f>SUM(H317:H321)</f>
        <v>533332</v>
      </c>
      <c r="I322" s="301"/>
      <c r="J322" s="301">
        <f>SUM(J317:J321)</f>
        <v>31684</v>
      </c>
      <c r="K322" s="301"/>
      <c r="L322" s="301">
        <f>SUM(L317:L321)</f>
        <v>38523</v>
      </c>
    </row>
    <row r="323" spans="1:13" ht="15" customHeight="1">
      <c r="A323" s="209"/>
      <c r="B323" s="210"/>
      <c r="C323" s="95"/>
      <c r="D323" s="211"/>
      <c r="E323" s="212">
        <f>E316+1</f>
        <v>64</v>
      </c>
      <c r="F323" s="297" t="s">
        <v>1837</v>
      </c>
      <c r="G323" s="95"/>
      <c r="H323" s="298"/>
      <c r="I323" s="299"/>
      <c r="J323" s="298" t="s">
        <v>1071</v>
      </c>
      <c r="K323" s="299"/>
      <c r="L323" s="300"/>
    </row>
    <row r="324" spans="1:13" ht="15" customHeight="1">
      <c r="A324" s="129" t="s">
        <v>1547</v>
      </c>
      <c r="B324" s="129" t="s">
        <v>1840</v>
      </c>
      <c r="C324" s="421">
        <v>1</v>
      </c>
      <c r="D324" s="1" t="s">
        <v>640</v>
      </c>
      <c r="E324" s="91">
        <f t="shared" ref="E324:F326" si="50">G324+I324+K324</f>
        <v>10500</v>
      </c>
      <c r="F324" s="91">
        <f t="shared" si="50"/>
        <v>10500</v>
      </c>
      <c r="G324" s="91">
        <v>0</v>
      </c>
      <c r="H324" s="91">
        <f>INT(C324*G324)</f>
        <v>0</v>
      </c>
      <c r="I324" s="91">
        <f>자재!F252</f>
        <v>10500</v>
      </c>
      <c r="J324" s="91">
        <f>INT(C324*I324)</f>
        <v>10500</v>
      </c>
      <c r="K324" s="91">
        <v>0</v>
      </c>
      <c r="L324" s="91">
        <f>INT(C324*K324)</f>
        <v>0</v>
      </c>
    </row>
    <row r="325" spans="1:13" ht="15" customHeight="1">
      <c r="A325" s="129" t="s">
        <v>1549</v>
      </c>
      <c r="B325" s="129" t="s">
        <v>2314</v>
      </c>
      <c r="C325" s="73">
        <v>1.7999999999999999E-2</v>
      </c>
      <c r="D325" s="1" t="s">
        <v>30</v>
      </c>
      <c r="E325" s="91">
        <f t="shared" si="50"/>
        <v>238145</v>
      </c>
      <c r="F325" s="91">
        <f t="shared" si="50"/>
        <v>4286</v>
      </c>
      <c r="G325" s="91">
        <f>노임!D4</f>
        <v>238145</v>
      </c>
      <c r="H325" s="91">
        <f>INT(C325*G325)</f>
        <v>4286</v>
      </c>
      <c r="I325" s="91"/>
      <c r="J325" s="91">
        <f>INT(C325*I325)</f>
        <v>0</v>
      </c>
      <c r="K325" s="91"/>
      <c r="L325" s="91">
        <f>INT(C325*K325)</f>
        <v>0</v>
      </c>
    </row>
    <row r="326" spans="1:13" ht="15" customHeight="1">
      <c r="A326" s="129" t="s">
        <v>27</v>
      </c>
      <c r="B326" s="129" t="s">
        <v>2315</v>
      </c>
      <c r="C326" s="73">
        <v>0.01</v>
      </c>
      <c r="D326" s="1" t="s">
        <v>30</v>
      </c>
      <c r="E326" s="91">
        <f t="shared" si="50"/>
        <v>172068</v>
      </c>
      <c r="F326" s="91">
        <f t="shared" si="50"/>
        <v>1720</v>
      </c>
      <c r="G326" s="91">
        <f>노임!D14</f>
        <v>172068</v>
      </c>
      <c r="H326" s="91">
        <f>INT(C326*G326)</f>
        <v>1720</v>
      </c>
      <c r="I326" s="91"/>
      <c r="J326" s="91">
        <f>INT(C326*I326)</f>
        <v>0</v>
      </c>
      <c r="K326" s="91"/>
      <c r="L326" s="91">
        <f>INT(C326*K326)</f>
        <v>0</v>
      </c>
    </row>
    <row r="327" spans="1:13" ht="15" customHeight="1">
      <c r="A327" s="129" t="s">
        <v>617</v>
      </c>
      <c r="B327" s="126"/>
      <c r="C327" s="129"/>
      <c r="D327" s="1"/>
      <c r="E327" s="301"/>
      <c r="F327" s="301">
        <f>H327+J327+L327</f>
        <v>16506</v>
      </c>
      <c r="G327" s="301"/>
      <c r="H327" s="301">
        <f>SUM(H324:H326)</f>
        <v>6006</v>
      </c>
      <c r="I327" s="301"/>
      <c r="J327" s="301">
        <f>SUM(J324:J326)</f>
        <v>10500</v>
      </c>
      <c r="K327" s="301"/>
      <c r="L327" s="301">
        <f>SUM(L324:L326)</f>
        <v>0</v>
      </c>
    </row>
    <row r="328" spans="1:13" ht="15" customHeight="1">
      <c r="A328" s="209"/>
      <c r="B328" s="210"/>
      <c r="C328" s="95"/>
      <c r="D328" s="211"/>
      <c r="E328" s="212">
        <f>E323+1</f>
        <v>65</v>
      </c>
      <c r="F328" s="297" t="s">
        <v>1838</v>
      </c>
      <c r="G328" s="95"/>
      <c r="H328" s="298"/>
      <c r="I328" s="299"/>
      <c r="J328" s="298" t="s">
        <v>1551</v>
      </c>
      <c r="K328" s="299"/>
      <c r="L328" s="300"/>
    </row>
    <row r="329" spans="1:13" ht="15" customHeight="1">
      <c r="A329" s="129" t="s">
        <v>1547</v>
      </c>
      <c r="B329" s="129" t="s">
        <v>1553</v>
      </c>
      <c r="C329" s="421">
        <v>1</v>
      </c>
      <c r="D329" s="1" t="s">
        <v>1548</v>
      </c>
      <c r="E329" s="91">
        <f t="shared" ref="E329:F331" si="51">G329+I329+K329</f>
        <v>15580</v>
      </c>
      <c r="F329" s="91">
        <f t="shared" si="51"/>
        <v>15580</v>
      </c>
      <c r="G329" s="91">
        <v>0</v>
      </c>
      <c r="H329" s="91">
        <f>INT(C329*G329)</f>
        <v>0</v>
      </c>
      <c r="I329" s="91">
        <f>자재!F253</f>
        <v>15580</v>
      </c>
      <c r="J329" s="91">
        <f>INT(C329*I329)</f>
        <v>15580</v>
      </c>
      <c r="K329" s="91">
        <v>0</v>
      </c>
      <c r="L329" s="91">
        <f>INT(C329*K329)</f>
        <v>0</v>
      </c>
    </row>
    <row r="330" spans="1:13" ht="15" customHeight="1">
      <c r="A330" s="129" t="s">
        <v>1549</v>
      </c>
      <c r="B330" s="129" t="s">
        <v>2316</v>
      </c>
      <c r="C330" s="73">
        <v>2.5000000000000001E-2</v>
      </c>
      <c r="D330" s="1" t="s">
        <v>941</v>
      </c>
      <c r="E330" s="91">
        <f t="shared" si="51"/>
        <v>238145</v>
      </c>
      <c r="F330" s="91">
        <f t="shared" si="51"/>
        <v>5953</v>
      </c>
      <c r="G330" s="91">
        <f>노임!D4</f>
        <v>238145</v>
      </c>
      <c r="H330" s="91">
        <f>INT(C330*G330)</f>
        <v>5953</v>
      </c>
      <c r="I330" s="91"/>
      <c r="J330" s="91">
        <f>INT(C330*I330)</f>
        <v>0</v>
      </c>
      <c r="K330" s="91"/>
      <c r="L330" s="91">
        <f>INT(C330*K330)</f>
        <v>0</v>
      </c>
    </row>
    <row r="331" spans="1:13" ht="15" customHeight="1">
      <c r="A331" s="129" t="s">
        <v>1550</v>
      </c>
      <c r="B331" s="129" t="s">
        <v>2317</v>
      </c>
      <c r="C331" s="73">
        <v>1.2999999999999999E-2</v>
      </c>
      <c r="D331" s="1" t="s">
        <v>941</v>
      </c>
      <c r="E331" s="91">
        <f t="shared" si="51"/>
        <v>172068</v>
      </c>
      <c r="F331" s="91">
        <f t="shared" si="51"/>
        <v>2236</v>
      </c>
      <c r="G331" s="91">
        <f>노임!D14</f>
        <v>172068</v>
      </c>
      <c r="H331" s="91">
        <f>INT(C331*G331)</f>
        <v>2236</v>
      </c>
      <c r="I331" s="91"/>
      <c r="J331" s="91">
        <f>INT(C331*I331)</f>
        <v>0</v>
      </c>
      <c r="K331" s="91"/>
      <c r="L331" s="91">
        <f>INT(C331*K331)</f>
        <v>0</v>
      </c>
    </row>
    <row r="332" spans="1:13" ht="15" customHeight="1">
      <c r="A332" s="129" t="s">
        <v>617</v>
      </c>
      <c r="B332" s="126"/>
      <c r="C332" s="129"/>
      <c r="D332" s="1"/>
      <c r="E332" s="301"/>
      <c r="F332" s="301">
        <f>H332+J332+L332</f>
        <v>23769</v>
      </c>
      <c r="G332" s="301"/>
      <c r="H332" s="301">
        <f>SUM(H329:H331)</f>
        <v>8189</v>
      </c>
      <c r="I332" s="301"/>
      <c r="J332" s="301">
        <f>SUM(J329:J331)</f>
        <v>15580</v>
      </c>
      <c r="K332" s="301"/>
      <c r="L332" s="301">
        <f>SUM(L329:L331)</f>
        <v>0</v>
      </c>
    </row>
    <row r="333" spans="1:13" ht="15" customHeight="1">
      <c r="A333" s="209"/>
      <c r="B333" s="210"/>
      <c r="C333" s="95"/>
      <c r="D333" s="211"/>
      <c r="E333" s="212">
        <f>E328+1</f>
        <v>66</v>
      </c>
      <c r="F333" s="297" t="s">
        <v>1839</v>
      </c>
      <c r="G333" s="95"/>
      <c r="H333" s="298"/>
      <c r="I333" s="299"/>
      <c r="J333" s="298" t="s">
        <v>1551</v>
      </c>
      <c r="K333" s="299"/>
      <c r="L333" s="300"/>
      <c r="M333" s="10" t="s">
        <v>1875</v>
      </c>
    </row>
    <row r="334" spans="1:13" ht="15" customHeight="1">
      <c r="A334" s="129" t="s">
        <v>1547</v>
      </c>
      <c r="B334" s="129" t="s">
        <v>747</v>
      </c>
      <c r="C334" s="421">
        <v>1</v>
      </c>
      <c r="D334" s="1" t="s">
        <v>1548</v>
      </c>
      <c r="E334" s="91">
        <f t="shared" ref="E334:F336" si="52">G334+I334+K334</f>
        <v>16850</v>
      </c>
      <c r="F334" s="91">
        <f t="shared" si="52"/>
        <v>16850</v>
      </c>
      <c r="G334" s="91">
        <v>0</v>
      </c>
      <c r="H334" s="91">
        <f>INT(C334*G334)</f>
        <v>0</v>
      </c>
      <c r="I334" s="91">
        <f>자재!F254</f>
        <v>16850</v>
      </c>
      <c r="J334" s="91">
        <f>INT(C334*I334)</f>
        <v>16850</v>
      </c>
      <c r="K334" s="91">
        <v>0</v>
      </c>
      <c r="L334" s="91">
        <f>INT(C334*K334)</f>
        <v>0</v>
      </c>
    </row>
    <row r="335" spans="1:13" ht="15" customHeight="1">
      <c r="A335" s="129" t="s">
        <v>1549</v>
      </c>
      <c r="B335" s="129" t="s">
        <v>2318</v>
      </c>
      <c r="C335" s="73">
        <v>3.1E-2</v>
      </c>
      <c r="D335" s="1" t="s">
        <v>941</v>
      </c>
      <c r="E335" s="91">
        <f t="shared" si="52"/>
        <v>238145</v>
      </c>
      <c r="F335" s="91">
        <f t="shared" si="52"/>
        <v>7382</v>
      </c>
      <c r="G335" s="91">
        <f>노임!D4</f>
        <v>238145</v>
      </c>
      <c r="H335" s="91">
        <f>INT(C335*G335)</f>
        <v>7382</v>
      </c>
      <c r="I335" s="91"/>
      <c r="J335" s="91">
        <f>INT(C335*I335)</f>
        <v>0</v>
      </c>
      <c r="K335" s="91"/>
      <c r="L335" s="91">
        <f>INT(C335*K335)</f>
        <v>0</v>
      </c>
    </row>
    <row r="336" spans="1:13" ht="15" customHeight="1">
      <c r="A336" s="129" t="s">
        <v>1550</v>
      </c>
      <c r="B336" s="129" t="s">
        <v>2319</v>
      </c>
      <c r="C336" s="73">
        <v>1.6E-2</v>
      </c>
      <c r="D336" s="1" t="s">
        <v>941</v>
      </c>
      <c r="E336" s="91">
        <f t="shared" si="52"/>
        <v>172068</v>
      </c>
      <c r="F336" s="91">
        <f t="shared" si="52"/>
        <v>2753</v>
      </c>
      <c r="G336" s="91">
        <f>노임!D14</f>
        <v>172068</v>
      </c>
      <c r="H336" s="91">
        <f>INT(C336*G336)</f>
        <v>2753</v>
      </c>
      <c r="I336" s="91"/>
      <c r="J336" s="91">
        <f>INT(C336*I336)</f>
        <v>0</v>
      </c>
      <c r="K336" s="91"/>
      <c r="L336" s="91">
        <f>INT(C336*K336)</f>
        <v>0</v>
      </c>
    </row>
    <row r="337" spans="1:13" ht="15" customHeight="1">
      <c r="A337" s="129" t="s">
        <v>617</v>
      </c>
      <c r="B337" s="126"/>
      <c r="C337" s="129"/>
      <c r="D337" s="1"/>
      <c r="E337" s="301"/>
      <c r="F337" s="301">
        <f>H337+J337+L337</f>
        <v>26985</v>
      </c>
      <c r="G337" s="301"/>
      <c r="H337" s="301">
        <f>SUM(H334:H336)</f>
        <v>10135</v>
      </c>
      <c r="I337" s="301"/>
      <c r="J337" s="301">
        <f>SUM(J334:J336)</f>
        <v>16850</v>
      </c>
      <c r="K337" s="301"/>
      <c r="L337" s="301">
        <f>SUM(L334:L336)</f>
        <v>0</v>
      </c>
    </row>
    <row r="338" spans="1:13" ht="15" customHeight="1">
      <c r="A338" s="209"/>
      <c r="B338" s="210"/>
      <c r="C338" s="95"/>
      <c r="D338" s="211"/>
      <c r="E338" s="515">
        <f>E333+1</f>
        <v>67</v>
      </c>
      <c r="F338" s="297" t="s">
        <v>2423</v>
      </c>
      <c r="G338" s="95"/>
      <c r="H338" s="298"/>
      <c r="I338" s="299"/>
      <c r="J338" s="298" t="s">
        <v>1071</v>
      </c>
      <c r="K338" s="299"/>
      <c r="L338" s="300"/>
      <c r="M338" s="10" t="s">
        <v>1875</v>
      </c>
    </row>
    <row r="339" spans="1:13" ht="15" customHeight="1">
      <c r="A339" s="129" t="s">
        <v>1547</v>
      </c>
      <c r="B339" s="129" t="s">
        <v>1685</v>
      </c>
      <c r="C339" s="421">
        <v>1</v>
      </c>
      <c r="D339" s="1" t="s">
        <v>640</v>
      </c>
      <c r="E339" s="91">
        <f t="shared" ref="E339:F341" si="53">G339+I339+K339</f>
        <v>21520</v>
      </c>
      <c r="F339" s="91">
        <f t="shared" si="53"/>
        <v>21520</v>
      </c>
      <c r="G339" s="91">
        <v>0</v>
      </c>
      <c r="H339" s="91">
        <f>INT(C339*G339)</f>
        <v>0</v>
      </c>
      <c r="I339" s="91">
        <f>자재!F255</f>
        <v>21520</v>
      </c>
      <c r="J339" s="91">
        <f>INT(C339*I339)</f>
        <v>21520</v>
      </c>
      <c r="K339" s="91">
        <v>0</v>
      </c>
      <c r="L339" s="91">
        <f>INT(C339*K339)</f>
        <v>0</v>
      </c>
    </row>
    <row r="340" spans="1:13" ht="15" customHeight="1">
      <c r="A340" s="129" t="s">
        <v>1549</v>
      </c>
      <c r="B340" s="129" t="s">
        <v>2268</v>
      </c>
      <c r="C340" s="73">
        <v>4.2999999999999997E-2</v>
      </c>
      <c r="D340" s="1" t="s">
        <v>30</v>
      </c>
      <c r="E340" s="91">
        <f t="shared" si="53"/>
        <v>238145</v>
      </c>
      <c r="F340" s="91">
        <f t="shared" si="53"/>
        <v>10240</v>
      </c>
      <c r="G340" s="91">
        <f>노임!D4</f>
        <v>238145</v>
      </c>
      <c r="H340" s="91">
        <f>INT(C340*G340)</f>
        <v>10240</v>
      </c>
      <c r="I340" s="91"/>
      <c r="J340" s="91">
        <f>INT(C340*I340)</f>
        <v>0</v>
      </c>
      <c r="K340" s="91"/>
      <c r="L340" s="91">
        <f>INT(C340*K340)</f>
        <v>0</v>
      </c>
    </row>
    <row r="341" spans="1:13" ht="15" customHeight="1">
      <c r="A341" s="129" t="s">
        <v>27</v>
      </c>
      <c r="B341" s="129" t="s">
        <v>2269</v>
      </c>
      <c r="C341" s="73">
        <v>2.1000000000000001E-2</v>
      </c>
      <c r="D341" s="1" t="s">
        <v>30</v>
      </c>
      <c r="E341" s="91">
        <f t="shared" si="53"/>
        <v>172068</v>
      </c>
      <c r="F341" s="91">
        <f t="shared" si="53"/>
        <v>3613</v>
      </c>
      <c r="G341" s="91">
        <f>노임!D14</f>
        <v>172068</v>
      </c>
      <c r="H341" s="91">
        <f>INT(C341*G341)</f>
        <v>3613</v>
      </c>
      <c r="I341" s="91"/>
      <c r="J341" s="91">
        <f>INT(C341*I341)</f>
        <v>0</v>
      </c>
      <c r="K341" s="91"/>
      <c r="L341" s="91">
        <f>INT(C341*K341)</f>
        <v>0</v>
      </c>
    </row>
    <row r="342" spans="1:13" ht="15" customHeight="1">
      <c r="A342" s="129" t="s">
        <v>617</v>
      </c>
      <c r="B342" s="126"/>
      <c r="C342" s="129"/>
      <c r="D342" s="1"/>
      <c r="E342" s="301"/>
      <c r="F342" s="301">
        <f>H342+J342+L342</f>
        <v>35373</v>
      </c>
      <c r="G342" s="301"/>
      <c r="H342" s="301">
        <f>SUM(H339:H341)</f>
        <v>13853</v>
      </c>
      <c r="I342" s="301"/>
      <c r="J342" s="301">
        <f>SUM(J339:J341)</f>
        <v>21520</v>
      </c>
      <c r="K342" s="301"/>
      <c r="L342" s="301">
        <f>SUM(L339:L341)</f>
        <v>0</v>
      </c>
    </row>
    <row r="343" spans="1:13" ht="15" customHeight="1">
      <c r="A343" s="209"/>
      <c r="B343" s="210"/>
      <c r="C343" s="95"/>
      <c r="D343" s="211"/>
      <c r="E343" s="515">
        <f>E338+1</f>
        <v>68</v>
      </c>
      <c r="F343" s="297" t="s">
        <v>2538</v>
      </c>
      <c r="G343" s="95"/>
      <c r="H343" s="298"/>
      <c r="I343" s="299"/>
      <c r="J343" s="298" t="s">
        <v>1071</v>
      </c>
      <c r="K343" s="299"/>
      <c r="L343" s="300"/>
      <c r="M343" s="10" t="s">
        <v>1875</v>
      </c>
    </row>
    <row r="344" spans="1:13" ht="15" customHeight="1">
      <c r="A344" s="129" t="s">
        <v>1547</v>
      </c>
      <c r="B344" s="129" t="s">
        <v>1683</v>
      </c>
      <c r="C344" s="421">
        <v>1</v>
      </c>
      <c r="D344" s="1" t="s">
        <v>640</v>
      </c>
      <c r="E344" s="91">
        <f t="shared" ref="E344:F346" si="54">G344+I344+K344</f>
        <v>66530</v>
      </c>
      <c r="F344" s="91">
        <f t="shared" si="54"/>
        <v>66530</v>
      </c>
      <c r="G344" s="91">
        <v>0</v>
      </c>
      <c r="H344" s="91">
        <f>INT(C344*G344)</f>
        <v>0</v>
      </c>
      <c r="I344" s="91">
        <f>자재!F256</f>
        <v>66530</v>
      </c>
      <c r="J344" s="91">
        <f>INT(C344*I344)</f>
        <v>66530</v>
      </c>
      <c r="K344" s="91">
        <v>0</v>
      </c>
      <c r="L344" s="91">
        <f>INT(C344*K344)</f>
        <v>0</v>
      </c>
    </row>
    <row r="345" spans="1:13" ht="15" customHeight="1">
      <c r="A345" s="129" t="s">
        <v>1549</v>
      </c>
      <c r="B345" s="129" t="s">
        <v>2268</v>
      </c>
      <c r="C345" s="73">
        <v>4.2999999999999997E-2</v>
      </c>
      <c r="D345" s="1" t="s">
        <v>30</v>
      </c>
      <c r="E345" s="91">
        <f t="shared" si="54"/>
        <v>238145</v>
      </c>
      <c r="F345" s="91">
        <f t="shared" si="54"/>
        <v>10240</v>
      </c>
      <c r="G345" s="91">
        <f>노임!D4</f>
        <v>238145</v>
      </c>
      <c r="H345" s="91">
        <f>INT(C345*G345)</f>
        <v>10240</v>
      </c>
      <c r="I345" s="91"/>
      <c r="J345" s="91">
        <f>INT(C345*I345)</f>
        <v>0</v>
      </c>
      <c r="K345" s="91"/>
      <c r="L345" s="91">
        <f>INT(C345*K345)</f>
        <v>0</v>
      </c>
    </row>
    <row r="346" spans="1:13" ht="15" customHeight="1">
      <c r="A346" s="129" t="s">
        <v>27</v>
      </c>
      <c r="B346" s="129" t="s">
        <v>2269</v>
      </c>
      <c r="C346" s="73">
        <v>2.1000000000000001E-2</v>
      </c>
      <c r="D346" s="1" t="s">
        <v>30</v>
      </c>
      <c r="E346" s="91">
        <f t="shared" si="54"/>
        <v>172068</v>
      </c>
      <c r="F346" s="91">
        <f t="shared" si="54"/>
        <v>3613</v>
      </c>
      <c r="G346" s="91">
        <f>노임!D14</f>
        <v>172068</v>
      </c>
      <c r="H346" s="91">
        <f>INT(C346*G346)</f>
        <v>3613</v>
      </c>
      <c r="I346" s="91"/>
      <c r="J346" s="91">
        <f>INT(C346*I346)</f>
        <v>0</v>
      </c>
      <c r="K346" s="91"/>
      <c r="L346" s="91">
        <f>INT(C346*K346)</f>
        <v>0</v>
      </c>
    </row>
    <row r="347" spans="1:13" ht="15" customHeight="1">
      <c r="A347" s="129" t="s">
        <v>617</v>
      </c>
      <c r="B347" s="126"/>
      <c r="C347" s="129"/>
      <c r="D347" s="1"/>
      <c r="E347" s="301"/>
      <c r="F347" s="301">
        <f>H347+J347+L347</f>
        <v>80383</v>
      </c>
      <c r="G347" s="301"/>
      <c r="H347" s="301">
        <f>SUM(H344:H346)</f>
        <v>13853</v>
      </c>
      <c r="I347" s="301"/>
      <c r="J347" s="301">
        <f>SUM(J344:J346)</f>
        <v>66530</v>
      </c>
      <c r="K347" s="301"/>
      <c r="L347" s="301">
        <f>SUM(L344:L346)</f>
        <v>0</v>
      </c>
    </row>
    <row r="348" spans="1:13" ht="15" customHeight="1">
      <c r="A348" s="209"/>
      <c r="B348" s="210"/>
      <c r="C348" s="95"/>
      <c r="D348" s="211"/>
      <c r="E348" s="212">
        <f>E343+1</f>
        <v>69</v>
      </c>
      <c r="F348" s="297" t="s">
        <v>1841</v>
      </c>
      <c r="G348" s="95"/>
      <c r="H348" s="298"/>
      <c r="I348" s="299"/>
      <c r="J348" s="298" t="s">
        <v>1652</v>
      </c>
      <c r="K348" s="299"/>
      <c r="L348" s="300"/>
    </row>
    <row r="349" spans="1:13" ht="15" customHeight="1">
      <c r="A349" s="130" t="s">
        <v>2479</v>
      </c>
      <c r="B349" s="304"/>
      <c r="C349" s="129">
        <v>0.04</v>
      </c>
      <c r="D349" s="1" t="s">
        <v>30</v>
      </c>
      <c r="E349" s="91">
        <f t="shared" ref="E349:F351" si="55">G349+I349+K349</f>
        <v>262580</v>
      </c>
      <c r="F349" s="91">
        <f t="shared" si="55"/>
        <v>10503</v>
      </c>
      <c r="G349" s="91">
        <f>노임!B16</f>
        <v>262580</v>
      </c>
      <c r="H349" s="91">
        <f>INT(C349*G349)</f>
        <v>10503</v>
      </c>
      <c r="I349" s="91"/>
      <c r="J349" s="91">
        <f>INT(C349*I349)</f>
        <v>0</v>
      </c>
      <c r="K349" s="91"/>
      <c r="L349" s="91">
        <f>INT(C349*K349)</f>
        <v>0</v>
      </c>
    </row>
    <row r="350" spans="1:13" ht="15" customHeight="1">
      <c r="A350" s="130" t="s">
        <v>27</v>
      </c>
      <c r="B350" s="304"/>
      <c r="C350" s="129">
        <v>0.04</v>
      </c>
      <c r="D350" s="1" t="s">
        <v>30</v>
      </c>
      <c r="E350" s="91">
        <f t="shared" si="55"/>
        <v>172068</v>
      </c>
      <c r="F350" s="91">
        <f t="shared" si="55"/>
        <v>6882</v>
      </c>
      <c r="G350" s="91">
        <f>노임!D14</f>
        <v>172068</v>
      </c>
      <c r="H350" s="91">
        <f>INT(C350*G350)</f>
        <v>6882</v>
      </c>
      <c r="I350" s="91"/>
      <c r="J350" s="91">
        <f>INT(C350*I350)</f>
        <v>0</v>
      </c>
      <c r="K350" s="91"/>
      <c r="L350" s="91">
        <f>INT(C350*K350)</f>
        <v>0</v>
      </c>
    </row>
    <row r="351" spans="1:13" ht="15" customHeight="1">
      <c r="A351" s="130" t="s">
        <v>1653</v>
      </c>
      <c r="B351" s="304" t="s">
        <v>1654</v>
      </c>
      <c r="C351" s="129">
        <v>4.0000000000000001E-3</v>
      </c>
      <c r="D351" s="1" t="s">
        <v>31</v>
      </c>
      <c r="E351" s="91">
        <f t="shared" si="55"/>
        <v>304607</v>
      </c>
      <c r="F351" s="91">
        <f t="shared" si="55"/>
        <v>1217</v>
      </c>
      <c r="G351" s="91">
        <f>기초일람!F34</f>
        <v>223906</v>
      </c>
      <c r="H351" s="91">
        <f>INT(C351*G351)</f>
        <v>895</v>
      </c>
      <c r="I351" s="91">
        <f>기초일람!G34</f>
        <v>71603</v>
      </c>
      <c r="J351" s="91">
        <f>INT(C351*I351)</f>
        <v>286</v>
      </c>
      <c r="K351" s="91">
        <f>기초일람!H34</f>
        <v>9098</v>
      </c>
      <c r="L351" s="91">
        <f>INT(C351*K351)</f>
        <v>36</v>
      </c>
    </row>
    <row r="352" spans="1:13" ht="15" customHeight="1">
      <c r="A352" s="130" t="s">
        <v>2480</v>
      </c>
      <c r="B352" s="304" t="s">
        <v>2481</v>
      </c>
      <c r="C352" s="129">
        <v>0.05</v>
      </c>
      <c r="D352" s="1" t="s">
        <v>2482</v>
      </c>
      <c r="E352" s="91"/>
      <c r="F352" s="91"/>
      <c r="G352" s="91"/>
      <c r="H352" s="91"/>
      <c r="I352" s="91"/>
      <c r="J352" s="91"/>
      <c r="K352" s="91">
        <f>H349+H350</f>
        <v>17385</v>
      </c>
      <c r="L352" s="91">
        <f>INT(C352*K352)</f>
        <v>869</v>
      </c>
    </row>
    <row r="353" spans="1:12" ht="15" customHeight="1">
      <c r="A353" s="129" t="s">
        <v>617</v>
      </c>
      <c r="B353" s="126"/>
      <c r="C353" s="129"/>
      <c r="D353" s="1"/>
      <c r="E353" s="301"/>
      <c r="F353" s="301">
        <f>H353+J353+L353</f>
        <v>19471</v>
      </c>
      <c r="G353" s="301"/>
      <c r="H353" s="301">
        <f>SUM(H349:H352)</f>
        <v>18280</v>
      </c>
      <c r="I353" s="301"/>
      <c r="J353" s="301">
        <f>SUM(J349:J352)</f>
        <v>286</v>
      </c>
      <c r="K353" s="301"/>
      <c r="L353" s="301">
        <f>SUM(L349:L352)</f>
        <v>905</v>
      </c>
    </row>
    <row r="354" spans="1:12" ht="15" customHeight="1">
      <c r="A354" s="209"/>
      <c r="B354" s="210"/>
      <c r="C354" s="95"/>
      <c r="D354" s="211"/>
      <c r="E354" s="212">
        <f>E348+1</f>
        <v>70</v>
      </c>
      <c r="F354" s="297" t="s">
        <v>1651</v>
      </c>
      <c r="G354" s="95"/>
      <c r="H354" s="298"/>
      <c r="I354" s="299"/>
      <c r="J354" s="298" t="s">
        <v>1652</v>
      </c>
      <c r="K354" s="299"/>
      <c r="L354" s="300"/>
    </row>
    <row r="355" spans="1:12" ht="15" customHeight="1">
      <c r="A355" s="130" t="s">
        <v>2479</v>
      </c>
      <c r="B355" s="304"/>
      <c r="C355" s="129">
        <v>0.04</v>
      </c>
      <c r="D355" s="1" t="s">
        <v>1546</v>
      </c>
      <c r="E355" s="91">
        <f t="shared" ref="E355:F357" si="56">G355+I355+K355</f>
        <v>262580</v>
      </c>
      <c r="F355" s="91">
        <f t="shared" si="56"/>
        <v>10503</v>
      </c>
      <c r="G355" s="91">
        <f>G349</f>
        <v>262580</v>
      </c>
      <c r="H355" s="91">
        <f>INT(C355*G355)</f>
        <v>10503</v>
      </c>
      <c r="I355" s="91"/>
      <c r="J355" s="91">
        <f>INT(C355*I355)</f>
        <v>0</v>
      </c>
      <c r="K355" s="91"/>
      <c r="L355" s="91">
        <f>INT(C355*K355)</f>
        <v>0</v>
      </c>
    </row>
    <row r="356" spans="1:12" ht="15" customHeight="1">
      <c r="A356" s="130" t="s">
        <v>500</v>
      </c>
      <c r="B356" s="304"/>
      <c r="C356" s="129">
        <v>0.04</v>
      </c>
      <c r="D356" s="1" t="s">
        <v>1546</v>
      </c>
      <c r="E356" s="91">
        <f t="shared" si="56"/>
        <v>172068</v>
      </c>
      <c r="F356" s="91">
        <f t="shared" si="56"/>
        <v>6882</v>
      </c>
      <c r="G356" s="91">
        <f>노임!D14</f>
        <v>172068</v>
      </c>
      <c r="H356" s="91">
        <f>INT(C356*G356)</f>
        <v>6882</v>
      </c>
      <c r="I356" s="91"/>
      <c r="J356" s="91">
        <f>INT(C356*I356)</f>
        <v>0</v>
      </c>
      <c r="K356" s="91"/>
      <c r="L356" s="91">
        <f>INT(C356*K356)</f>
        <v>0</v>
      </c>
    </row>
    <row r="357" spans="1:12" ht="15" customHeight="1">
      <c r="A357" s="130" t="s">
        <v>1653</v>
      </c>
      <c r="B357" s="304" t="s">
        <v>1654</v>
      </c>
      <c r="C357" s="129">
        <v>6.0000000000000001E-3</v>
      </c>
      <c r="D357" s="1" t="s">
        <v>1656</v>
      </c>
      <c r="E357" s="91">
        <f t="shared" si="56"/>
        <v>304607</v>
      </c>
      <c r="F357" s="91">
        <f t="shared" si="56"/>
        <v>1826</v>
      </c>
      <c r="G357" s="91">
        <f>기초일람!F34</f>
        <v>223906</v>
      </c>
      <c r="H357" s="91">
        <f>INT(C357*G357)</f>
        <v>1343</v>
      </c>
      <c r="I357" s="91">
        <f>기초일람!G34</f>
        <v>71603</v>
      </c>
      <c r="J357" s="91">
        <f>INT(C357*I357)</f>
        <v>429</v>
      </c>
      <c r="K357" s="91">
        <f>기초일람!H34</f>
        <v>9098</v>
      </c>
      <c r="L357" s="91">
        <f>INT(C357*K357)</f>
        <v>54</v>
      </c>
    </row>
    <row r="358" spans="1:12" ht="15" customHeight="1">
      <c r="A358" s="130" t="s">
        <v>2480</v>
      </c>
      <c r="B358" s="304" t="s">
        <v>2481</v>
      </c>
      <c r="C358" s="129">
        <v>0.05</v>
      </c>
      <c r="D358" s="1" t="s">
        <v>2482</v>
      </c>
      <c r="E358" s="91"/>
      <c r="F358" s="91"/>
      <c r="G358" s="91"/>
      <c r="H358" s="91"/>
      <c r="I358" s="91"/>
      <c r="J358" s="91"/>
      <c r="K358" s="91">
        <f>H355+H356</f>
        <v>17385</v>
      </c>
      <c r="L358" s="91">
        <f>INT(C358*K358)</f>
        <v>869</v>
      </c>
    </row>
    <row r="359" spans="1:12" ht="15" customHeight="1">
      <c r="A359" s="129" t="s">
        <v>617</v>
      </c>
      <c r="B359" s="126"/>
      <c r="C359" s="129"/>
      <c r="D359" s="1"/>
      <c r="E359" s="301"/>
      <c r="F359" s="301">
        <f>H359+J359+L359</f>
        <v>20080</v>
      </c>
      <c r="G359" s="301"/>
      <c r="H359" s="301">
        <f>SUM(H355:H358)</f>
        <v>18728</v>
      </c>
      <c r="I359" s="301"/>
      <c r="J359" s="301">
        <f>SUM(J355:J358)</f>
        <v>429</v>
      </c>
      <c r="K359" s="301"/>
      <c r="L359" s="301">
        <f>SUM(L355:L358)</f>
        <v>923</v>
      </c>
    </row>
    <row r="360" spans="1:12" ht="15" customHeight="1">
      <c r="A360" s="209"/>
      <c r="B360" s="210"/>
      <c r="C360" s="95"/>
      <c r="D360" s="211"/>
      <c r="E360" s="212">
        <f>E354+1</f>
        <v>71</v>
      </c>
      <c r="F360" s="297" t="s">
        <v>1657</v>
      </c>
      <c r="G360" s="95"/>
      <c r="H360" s="298"/>
      <c r="I360" s="299"/>
      <c r="J360" s="298" t="s">
        <v>1652</v>
      </c>
      <c r="K360" s="299"/>
      <c r="L360" s="300"/>
    </row>
    <row r="361" spans="1:12" ht="15" customHeight="1">
      <c r="A361" s="130" t="s">
        <v>2479</v>
      </c>
      <c r="B361" s="304"/>
      <c r="C361" s="129">
        <v>0.05</v>
      </c>
      <c r="D361" s="1" t="s">
        <v>1546</v>
      </c>
      <c r="E361" s="91">
        <f t="shared" ref="E361:F363" si="57">G361+I361+K361</f>
        <v>262580</v>
      </c>
      <c r="F361" s="91">
        <f t="shared" si="57"/>
        <v>13129</v>
      </c>
      <c r="G361" s="91">
        <f>G355</f>
        <v>262580</v>
      </c>
      <c r="H361" s="91">
        <f>INT(C361*G361)</f>
        <v>13129</v>
      </c>
      <c r="I361" s="91"/>
      <c r="J361" s="91">
        <f>INT(C361*I361)</f>
        <v>0</v>
      </c>
      <c r="K361" s="91"/>
      <c r="L361" s="91">
        <f>INT(C361*K361)</f>
        <v>0</v>
      </c>
    </row>
    <row r="362" spans="1:12" ht="15" customHeight="1">
      <c r="A362" s="130" t="s">
        <v>500</v>
      </c>
      <c r="B362" s="304"/>
      <c r="C362" s="129">
        <v>0.05</v>
      </c>
      <c r="D362" s="1" t="s">
        <v>1546</v>
      </c>
      <c r="E362" s="91">
        <f t="shared" si="57"/>
        <v>172068</v>
      </c>
      <c r="F362" s="91">
        <f t="shared" si="57"/>
        <v>8603</v>
      </c>
      <c r="G362" s="91">
        <f>G356</f>
        <v>172068</v>
      </c>
      <c r="H362" s="91">
        <f>INT(C362*G362)</f>
        <v>8603</v>
      </c>
      <c r="I362" s="91"/>
      <c r="J362" s="91">
        <f>INT(C362*I362)</f>
        <v>0</v>
      </c>
      <c r="K362" s="91"/>
      <c r="L362" s="91">
        <f>INT(C362*K362)</f>
        <v>0</v>
      </c>
    </row>
    <row r="363" spans="1:12" ht="15" customHeight="1">
      <c r="A363" s="130" t="s">
        <v>1653</v>
      </c>
      <c r="B363" s="304" t="s">
        <v>1654</v>
      </c>
      <c r="C363" s="129">
        <v>8.0000000000000002E-3</v>
      </c>
      <c r="D363" s="1" t="s">
        <v>1656</v>
      </c>
      <c r="E363" s="91">
        <f t="shared" si="57"/>
        <v>304607</v>
      </c>
      <c r="F363" s="91">
        <f t="shared" si="57"/>
        <v>2435</v>
      </c>
      <c r="G363" s="91">
        <f>G357</f>
        <v>223906</v>
      </c>
      <c r="H363" s="91">
        <f>INT(C363*G363)</f>
        <v>1791</v>
      </c>
      <c r="I363" s="91">
        <f>I357</f>
        <v>71603</v>
      </c>
      <c r="J363" s="91">
        <f>INT(C363*I363)</f>
        <v>572</v>
      </c>
      <c r="K363" s="91">
        <f>K357</f>
        <v>9098</v>
      </c>
      <c r="L363" s="91">
        <f>INT(C363*K363)</f>
        <v>72</v>
      </c>
    </row>
    <row r="364" spans="1:12" ht="15" customHeight="1">
      <c r="A364" s="130" t="s">
        <v>2480</v>
      </c>
      <c r="B364" s="304" t="s">
        <v>2481</v>
      </c>
      <c r="C364" s="129">
        <v>0.05</v>
      </c>
      <c r="D364" s="1" t="s">
        <v>2482</v>
      </c>
      <c r="E364" s="91"/>
      <c r="F364" s="91"/>
      <c r="G364" s="91"/>
      <c r="H364" s="91"/>
      <c r="I364" s="91"/>
      <c r="J364" s="91"/>
      <c r="K364" s="91">
        <f>H361+H362</f>
        <v>21732</v>
      </c>
      <c r="L364" s="91">
        <f>INT(C364*K364)</f>
        <v>1086</v>
      </c>
    </row>
    <row r="365" spans="1:12" ht="15" customHeight="1">
      <c r="A365" s="129" t="s">
        <v>617</v>
      </c>
      <c r="B365" s="126"/>
      <c r="C365" s="129"/>
      <c r="D365" s="1"/>
      <c r="E365" s="301"/>
      <c r="F365" s="301">
        <f>H365+J365+L365</f>
        <v>25253</v>
      </c>
      <c r="G365" s="301"/>
      <c r="H365" s="301">
        <f>SUM(H361:H364)</f>
        <v>23523</v>
      </c>
      <c r="I365" s="301"/>
      <c r="J365" s="301">
        <f>SUM(J361:J364)</f>
        <v>572</v>
      </c>
      <c r="K365" s="301"/>
      <c r="L365" s="301">
        <f>SUM(L361:L364)</f>
        <v>1158</v>
      </c>
    </row>
    <row r="366" spans="1:12" ht="15" customHeight="1">
      <c r="A366" s="209"/>
      <c r="B366" s="210"/>
      <c r="C366" s="95"/>
      <c r="D366" s="211"/>
      <c r="E366" s="212">
        <f>E360+1</f>
        <v>72</v>
      </c>
      <c r="F366" s="297" t="s">
        <v>1290</v>
      </c>
      <c r="G366" s="95"/>
      <c r="H366" s="298"/>
      <c r="I366" s="299"/>
      <c r="J366" s="298" t="s">
        <v>1652</v>
      </c>
      <c r="K366" s="299"/>
      <c r="L366" s="300"/>
    </row>
    <row r="367" spans="1:12" ht="15" customHeight="1">
      <c r="A367" s="129" t="s">
        <v>1289</v>
      </c>
      <c r="B367" s="129" t="s">
        <v>1291</v>
      </c>
      <c r="C367" s="460">
        <f>ROUNDDOWN((0.13*(15/50)),3)</f>
        <v>3.9E-2</v>
      </c>
      <c r="D367" s="1" t="s">
        <v>501</v>
      </c>
      <c r="E367" s="91">
        <f>G367+I367+K367</f>
        <v>236986</v>
      </c>
      <c r="F367" s="91">
        <f>H367+J367+L367</f>
        <v>9242</v>
      </c>
      <c r="G367" s="91">
        <f>노임!F12</f>
        <v>236986</v>
      </c>
      <c r="H367" s="91">
        <f>INT(C367*G367)</f>
        <v>9242</v>
      </c>
      <c r="I367" s="91">
        <f>자재!F287</f>
        <v>0</v>
      </c>
      <c r="J367" s="91">
        <f>INT(C367*I367)</f>
        <v>0</v>
      </c>
      <c r="K367" s="91">
        <v>0</v>
      </c>
      <c r="L367" s="91">
        <f>INT(C367*K367)</f>
        <v>0</v>
      </c>
    </row>
    <row r="368" spans="1:12" ht="15" customHeight="1">
      <c r="A368" s="129" t="s">
        <v>617</v>
      </c>
      <c r="B368" s="126"/>
      <c r="C368" s="129"/>
      <c r="D368" s="1"/>
      <c r="E368" s="301"/>
      <c r="F368" s="301">
        <f>H368+J368+L368</f>
        <v>9242</v>
      </c>
      <c r="G368" s="301"/>
      <c r="H368" s="301">
        <f>SUM(H367:H367)</f>
        <v>9242</v>
      </c>
      <c r="I368" s="301"/>
      <c r="J368" s="301">
        <f>SUM(J367:J367)</f>
        <v>0</v>
      </c>
      <c r="K368" s="301"/>
      <c r="L368" s="301">
        <f>SUM(L367:L367)</f>
        <v>0</v>
      </c>
    </row>
    <row r="369" spans="1:12" ht="15" customHeight="1">
      <c r="A369" s="209"/>
      <c r="B369" s="210"/>
      <c r="C369" s="95"/>
      <c r="D369" s="211"/>
      <c r="E369" s="212">
        <f>E366+1</f>
        <v>73</v>
      </c>
      <c r="F369" s="297" t="s">
        <v>353</v>
      </c>
      <c r="G369" s="95"/>
      <c r="H369" s="298"/>
      <c r="I369" s="299"/>
      <c r="J369" s="298" t="s">
        <v>354</v>
      </c>
      <c r="K369" s="299"/>
      <c r="L369" s="300"/>
    </row>
    <row r="370" spans="1:12" ht="15" customHeight="1">
      <c r="A370" s="129" t="s">
        <v>693</v>
      </c>
      <c r="B370" s="129" t="s">
        <v>355</v>
      </c>
      <c r="C370" s="421">
        <v>1</v>
      </c>
      <c r="D370" s="1" t="s">
        <v>1800</v>
      </c>
      <c r="E370" s="91">
        <f>G370+I370+K370</f>
        <v>164000</v>
      </c>
      <c r="F370" s="91">
        <f>H370+J370+L370</f>
        <v>164000</v>
      </c>
      <c r="G370" s="91">
        <v>0</v>
      </c>
      <c r="H370" s="91">
        <f>INT(C370*G370)</f>
        <v>0</v>
      </c>
      <c r="I370" s="91">
        <f>자재!F156</f>
        <v>164000</v>
      </c>
      <c r="J370" s="91">
        <f>INT(C370*I370)</f>
        <v>164000</v>
      </c>
      <c r="K370" s="91">
        <v>0</v>
      </c>
      <c r="L370" s="91">
        <f>INT(C370*K370)</f>
        <v>0</v>
      </c>
    </row>
    <row r="371" spans="1:12" ht="15" customHeight="1">
      <c r="A371" s="129" t="s">
        <v>356</v>
      </c>
      <c r="B371" s="129" t="s">
        <v>434</v>
      </c>
      <c r="C371" s="73">
        <v>0.05</v>
      </c>
      <c r="D371" s="1"/>
      <c r="E371" s="91">
        <f>G371+I371+K371</f>
        <v>164000</v>
      </c>
      <c r="F371" s="91">
        <f>H371+J371+L371</f>
        <v>8200</v>
      </c>
      <c r="G371" s="91">
        <f>J370</f>
        <v>164000</v>
      </c>
      <c r="H371" s="91">
        <f>INT(C371*G371)</f>
        <v>8200</v>
      </c>
      <c r="I371" s="91"/>
      <c r="J371" s="91">
        <f>INT(C371*I371)</f>
        <v>0</v>
      </c>
      <c r="K371" s="91"/>
      <c r="L371" s="91">
        <f>INT(C371*K371)</f>
        <v>0</v>
      </c>
    </row>
    <row r="372" spans="1:12" ht="15" customHeight="1">
      <c r="A372" s="129" t="s">
        <v>617</v>
      </c>
      <c r="B372" s="126"/>
      <c r="C372" s="129"/>
      <c r="D372" s="1"/>
      <c r="E372" s="301"/>
      <c r="F372" s="301">
        <f>H372+J372+L372</f>
        <v>172200</v>
      </c>
      <c r="G372" s="301"/>
      <c r="H372" s="301">
        <f>SUM(H370:H371)</f>
        <v>8200</v>
      </c>
      <c r="I372" s="301"/>
      <c r="J372" s="301">
        <f>SUM(J370:J371)</f>
        <v>164000</v>
      </c>
      <c r="K372" s="301"/>
      <c r="L372" s="301">
        <f>SUM(L370:L371)</f>
        <v>0</v>
      </c>
    </row>
    <row r="373" spans="1:12" ht="15" customHeight="1">
      <c r="A373" s="209"/>
      <c r="B373" s="210"/>
      <c r="C373" s="95"/>
      <c r="D373" s="211"/>
      <c r="E373" s="212">
        <f>E369+1</f>
        <v>74</v>
      </c>
      <c r="F373" s="297" t="s">
        <v>1799</v>
      </c>
      <c r="G373" s="95"/>
      <c r="H373" s="298"/>
      <c r="I373" s="299"/>
      <c r="J373" s="298" t="s">
        <v>354</v>
      </c>
      <c r="K373" s="299"/>
      <c r="L373" s="300"/>
    </row>
    <row r="374" spans="1:12" ht="15" customHeight="1">
      <c r="A374" s="129" t="s">
        <v>693</v>
      </c>
      <c r="B374" s="129" t="s">
        <v>1801</v>
      </c>
      <c r="C374" s="421">
        <v>1</v>
      </c>
      <c r="D374" s="1" t="s">
        <v>1800</v>
      </c>
      <c r="E374" s="91">
        <f>G374+I374+K374</f>
        <v>225000</v>
      </c>
      <c r="F374" s="91">
        <f>H374+J374+L374</f>
        <v>225000</v>
      </c>
      <c r="G374" s="91">
        <v>0</v>
      </c>
      <c r="H374" s="91">
        <f>INT(C374*G374)</f>
        <v>0</v>
      </c>
      <c r="I374" s="91">
        <f>자재!F157</f>
        <v>225000</v>
      </c>
      <c r="J374" s="91">
        <f>INT(C374*I374)</f>
        <v>225000</v>
      </c>
      <c r="K374" s="91">
        <v>0</v>
      </c>
      <c r="L374" s="91">
        <f>INT(C374*K374)</f>
        <v>0</v>
      </c>
    </row>
    <row r="375" spans="1:12" ht="15" customHeight="1">
      <c r="A375" s="129" t="s">
        <v>356</v>
      </c>
      <c r="B375" s="129" t="s">
        <v>434</v>
      </c>
      <c r="C375" s="73">
        <v>0.05</v>
      </c>
      <c r="D375" s="1"/>
      <c r="E375" s="91">
        <f>G375+I375+K375</f>
        <v>225000</v>
      </c>
      <c r="F375" s="91">
        <f>H375+J375+L375</f>
        <v>11250</v>
      </c>
      <c r="G375" s="91">
        <f>J374</f>
        <v>225000</v>
      </c>
      <c r="H375" s="91">
        <f>INT(C375*G375)</f>
        <v>11250</v>
      </c>
      <c r="I375" s="91"/>
      <c r="J375" s="91">
        <f>INT(C375*I375)</f>
        <v>0</v>
      </c>
      <c r="K375" s="91"/>
      <c r="L375" s="91">
        <f>INT(C375*K375)</f>
        <v>0</v>
      </c>
    </row>
    <row r="376" spans="1:12" ht="15" customHeight="1">
      <c r="A376" s="129" t="s">
        <v>617</v>
      </c>
      <c r="B376" s="126"/>
      <c r="C376" s="129"/>
      <c r="D376" s="1"/>
      <c r="E376" s="301"/>
      <c r="F376" s="301">
        <f>H376+J376+L376</f>
        <v>236250</v>
      </c>
      <c r="G376" s="301"/>
      <c r="H376" s="301">
        <f>SUM(H374:H375)</f>
        <v>11250</v>
      </c>
      <c r="I376" s="301"/>
      <c r="J376" s="301">
        <f>SUM(J374:J375)</f>
        <v>225000</v>
      </c>
      <c r="K376" s="301"/>
      <c r="L376" s="301">
        <f>SUM(L374:L375)</f>
        <v>0</v>
      </c>
    </row>
    <row r="377" spans="1:12" ht="15" customHeight="1">
      <c r="A377" s="209"/>
      <c r="B377" s="210"/>
      <c r="C377" s="95"/>
      <c r="D377" s="211"/>
      <c r="E377" s="212">
        <f>E373+1</f>
        <v>75</v>
      </c>
      <c r="F377" s="297" t="s">
        <v>358</v>
      </c>
      <c r="G377" s="95"/>
      <c r="H377" s="298"/>
      <c r="I377" s="299"/>
      <c r="J377" s="298" t="s">
        <v>354</v>
      </c>
      <c r="K377" s="299"/>
      <c r="L377" s="300"/>
    </row>
    <row r="378" spans="1:12" ht="15" customHeight="1">
      <c r="A378" s="129" t="s">
        <v>359</v>
      </c>
      <c r="B378" s="129" t="s">
        <v>360</v>
      </c>
      <c r="C378" s="421">
        <v>1</v>
      </c>
      <c r="D378" s="1" t="s">
        <v>317</v>
      </c>
      <c r="E378" s="91">
        <f>G378+I378+K378</f>
        <v>299500</v>
      </c>
      <c r="F378" s="91">
        <f>H378+J378+L378</f>
        <v>299500</v>
      </c>
      <c r="G378" s="91">
        <v>0</v>
      </c>
      <c r="H378" s="91">
        <f>INT(C378*G378)</f>
        <v>0</v>
      </c>
      <c r="I378" s="91">
        <f>자재!F150</f>
        <v>299500</v>
      </c>
      <c r="J378" s="91">
        <f>INT(C378*I378)</f>
        <v>299500</v>
      </c>
      <c r="K378" s="91">
        <v>0</v>
      </c>
      <c r="L378" s="91">
        <f>INT(C378*K378)</f>
        <v>0</v>
      </c>
    </row>
    <row r="379" spans="1:12" ht="15" customHeight="1">
      <c r="A379" s="129" t="s">
        <v>356</v>
      </c>
      <c r="B379" s="129" t="s">
        <v>434</v>
      </c>
      <c r="C379" s="73">
        <v>0.05</v>
      </c>
      <c r="D379" s="1"/>
      <c r="E379" s="91">
        <f>G379+I379+K379</f>
        <v>299500</v>
      </c>
      <c r="F379" s="91">
        <f>H379+J379+L379</f>
        <v>14975</v>
      </c>
      <c r="G379" s="91">
        <f>J378</f>
        <v>299500</v>
      </c>
      <c r="H379" s="91">
        <f>INT(C379*G379)</f>
        <v>14975</v>
      </c>
      <c r="I379" s="91"/>
      <c r="J379" s="91">
        <f>INT(C379*I379)</f>
        <v>0</v>
      </c>
      <c r="K379" s="91"/>
      <c r="L379" s="91">
        <f>INT(C379*K379)</f>
        <v>0</v>
      </c>
    </row>
    <row r="380" spans="1:12" ht="15" customHeight="1">
      <c r="A380" s="129" t="s">
        <v>617</v>
      </c>
      <c r="B380" s="126"/>
      <c r="C380" s="129"/>
      <c r="D380" s="1"/>
      <c r="E380" s="301"/>
      <c r="F380" s="301">
        <f>H380+J380+L380</f>
        <v>314475</v>
      </c>
      <c r="G380" s="301"/>
      <c r="H380" s="301">
        <f>SUM(H378:H379)</f>
        <v>14975</v>
      </c>
      <c r="I380" s="301"/>
      <c r="J380" s="301">
        <f>SUM(J378:J379)</f>
        <v>299500</v>
      </c>
      <c r="K380" s="301"/>
      <c r="L380" s="301">
        <f>SUM(L378:L379)</f>
        <v>0</v>
      </c>
    </row>
    <row r="381" spans="1:12" ht="15" customHeight="1">
      <c r="A381" s="209"/>
      <c r="B381" s="210"/>
      <c r="C381" s="95"/>
      <c r="D381" s="211"/>
      <c r="E381" s="212">
        <f>E377+1</f>
        <v>76</v>
      </c>
      <c r="F381" s="297" t="s">
        <v>1802</v>
      </c>
      <c r="G381" s="95"/>
      <c r="H381" s="298"/>
      <c r="I381" s="299"/>
      <c r="J381" s="298" t="s">
        <v>354</v>
      </c>
      <c r="K381" s="299"/>
      <c r="L381" s="300"/>
    </row>
    <row r="382" spans="1:12" ht="15" customHeight="1">
      <c r="A382" s="129" t="s">
        <v>359</v>
      </c>
      <c r="B382" s="129" t="s">
        <v>1803</v>
      </c>
      <c r="C382" s="421">
        <v>1</v>
      </c>
      <c r="D382" s="1" t="s">
        <v>317</v>
      </c>
      <c r="E382" s="91">
        <f>G382+I382+K382</f>
        <v>328900</v>
      </c>
      <c r="F382" s="91">
        <f>H382+J382+L382</f>
        <v>328900</v>
      </c>
      <c r="G382" s="91">
        <v>0</v>
      </c>
      <c r="H382" s="91">
        <f>INT(C382*G382)</f>
        <v>0</v>
      </c>
      <c r="I382" s="91">
        <f>자재!F151</f>
        <v>328900</v>
      </c>
      <c r="J382" s="91">
        <f>INT(C382*I382)</f>
        <v>328900</v>
      </c>
      <c r="K382" s="91">
        <v>0</v>
      </c>
      <c r="L382" s="91">
        <f>INT(C382*K382)</f>
        <v>0</v>
      </c>
    </row>
    <row r="383" spans="1:12" ht="15" customHeight="1">
      <c r="A383" s="129" t="s">
        <v>356</v>
      </c>
      <c r="B383" s="129" t="s">
        <v>434</v>
      </c>
      <c r="C383" s="73">
        <v>0.05</v>
      </c>
      <c r="D383" s="1"/>
      <c r="E383" s="91">
        <f>G383+I383+K383</f>
        <v>328900</v>
      </c>
      <c r="F383" s="91">
        <f>H383+J383+L383</f>
        <v>16445</v>
      </c>
      <c r="G383" s="91">
        <f>J382</f>
        <v>328900</v>
      </c>
      <c r="H383" s="91">
        <f>INT(C383*G383)</f>
        <v>16445</v>
      </c>
      <c r="I383" s="91"/>
      <c r="J383" s="91">
        <f>INT(C383*I383)</f>
        <v>0</v>
      </c>
      <c r="K383" s="91"/>
      <c r="L383" s="91">
        <f>INT(C383*K383)</f>
        <v>0</v>
      </c>
    </row>
    <row r="384" spans="1:12" ht="15" customHeight="1">
      <c r="A384" s="129" t="s">
        <v>617</v>
      </c>
      <c r="B384" s="126"/>
      <c r="C384" s="129"/>
      <c r="D384" s="1"/>
      <c r="E384" s="301"/>
      <c r="F384" s="301">
        <f>H384+J384+L384</f>
        <v>345345</v>
      </c>
      <c r="G384" s="301"/>
      <c r="H384" s="301">
        <f>SUM(H382:H383)</f>
        <v>16445</v>
      </c>
      <c r="I384" s="301"/>
      <c r="J384" s="301">
        <f>SUM(J382:J383)</f>
        <v>328900</v>
      </c>
      <c r="K384" s="301"/>
      <c r="L384" s="301">
        <f>SUM(L382:L383)</f>
        <v>0</v>
      </c>
    </row>
    <row r="385" spans="1:12" ht="15" customHeight="1">
      <c r="A385" s="209"/>
      <c r="B385" s="210"/>
      <c r="C385" s="95"/>
      <c r="D385" s="211"/>
      <c r="E385" s="212">
        <f>E381+1</f>
        <v>77</v>
      </c>
      <c r="F385" s="297" t="s">
        <v>1806</v>
      </c>
      <c r="G385" s="95"/>
      <c r="H385" s="298"/>
      <c r="I385" s="299"/>
      <c r="J385" s="298" t="s">
        <v>1809</v>
      </c>
      <c r="K385" s="299"/>
      <c r="L385" s="300"/>
    </row>
    <row r="386" spans="1:12" ht="15" customHeight="1">
      <c r="A386" s="129" t="s">
        <v>1807</v>
      </c>
      <c r="B386" s="129" t="s">
        <v>1808</v>
      </c>
      <c r="C386" s="421">
        <v>1</v>
      </c>
      <c r="D386" s="1" t="s">
        <v>1810</v>
      </c>
      <c r="E386" s="91">
        <f>G386+I386+K386</f>
        <v>47700</v>
      </c>
      <c r="F386" s="91">
        <f>H386+J386+L386</f>
        <v>47700</v>
      </c>
      <c r="G386" s="91">
        <v>0</v>
      </c>
      <c r="H386" s="91">
        <f>INT(C386*G386)</f>
        <v>0</v>
      </c>
      <c r="I386" s="91">
        <f>자재!F147</f>
        <v>47700</v>
      </c>
      <c r="J386" s="91">
        <f>INT(C386*I386)</f>
        <v>47700</v>
      </c>
      <c r="K386" s="91">
        <v>0</v>
      </c>
      <c r="L386" s="91">
        <f>INT(C386*K386)</f>
        <v>0</v>
      </c>
    </row>
    <row r="387" spans="1:12" ht="15" customHeight="1">
      <c r="A387" s="129" t="s">
        <v>356</v>
      </c>
      <c r="B387" s="129" t="s">
        <v>434</v>
      </c>
      <c r="C387" s="73">
        <v>0.05</v>
      </c>
      <c r="D387" s="1"/>
      <c r="E387" s="91">
        <f>G387+I387+K387</f>
        <v>47700</v>
      </c>
      <c r="F387" s="91">
        <f>H387+J387+L387</f>
        <v>2385</v>
      </c>
      <c r="G387" s="91">
        <f>J386</f>
        <v>47700</v>
      </c>
      <c r="H387" s="91">
        <f>INT(C387*G387)</f>
        <v>2385</v>
      </c>
      <c r="I387" s="91"/>
      <c r="J387" s="91">
        <f>INT(C387*I387)</f>
        <v>0</v>
      </c>
      <c r="K387" s="91"/>
      <c r="L387" s="91">
        <f>INT(C387*K387)</f>
        <v>0</v>
      </c>
    </row>
    <row r="388" spans="1:12" ht="15" customHeight="1">
      <c r="A388" s="129" t="s">
        <v>617</v>
      </c>
      <c r="B388" s="126"/>
      <c r="C388" s="129"/>
      <c r="D388" s="1"/>
      <c r="E388" s="301"/>
      <c r="F388" s="301">
        <f>H388+J388+L388</f>
        <v>50085</v>
      </c>
      <c r="G388" s="301"/>
      <c r="H388" s="301">
        <f>SUM(H386:H387)</f>
        <v>2385</v>
      </c>
      <c r="I388" s="301"/>
      <c r="J388" s="301">
        <f>SUM(J386:J387)</f>
        <v>47700</v>
      </c>
      <c r="K388" s="301"/>
      <c r="L388" s="301">
        <f>SUM(L386:L387)</f>
        <v>0</v>
      </c>
    </row>
    <row r="389" spans="1:12" ht="15" customHeight="1">
      <c r="A389" s="209"/>
      <c r="B389" s="210"/>
      <c r="C389" s="95"/>
      <c r="D389" s="211"/>
      <c r="E389" s="212">
        <f>E385+1</f>
        <v>78</v>
      </c>
      <c r="F389" s="297" t="s">
        <v>1812</v>
      </c>
      <c r="G389" s="95"/>
      <c r="H389" s="298"/>
      <c r="I389" s="299"/>
      <c r="J389" s="298" t="s">
        <v>1809</v>
      </c>
      <c r="K389" s="299"/>
      <c r="L389" s="300"/>
    </row>
    <row r="390" spans="1:12" ht="15" customHeight="1">
      <c r="A390" s="129" t="s">
        <v>1807</v>
      </c>
      <c r="B390" s="129" t="s">
        <v>1811</v>
      </c>
      <c r="C390" s="421">
        <v>1</v>
      </c>
      <c r="D390" s="1" t="s">
        <v>1810</v>
      </c>
      <c r="E390" s="91">
        <f>G390+I390+K390</f>
        <v>69800</v>
      </c>
      <c r="F390" s="91">
        <f>H390+J390+L390</f>
        <v>69800</v>
      </c>
      <c r="G390" s="91">
        <v>0</v>
      </c>
      <c r="H390" s="91">
        <f>INT(C390*G390)</f>
        <v>0</v>
      </c>
      <c r="I390" s="91">
        <f>자재!F148</f>
        <v>69800</v>
      </c>
      <c r="J390" s="91">
        <f>INT(C390*I390)</f>
        <v>69800</v>
      </c>
      <c r="K390" s="91">
        <v>0</v>
      </c>
      <c r="L390" s="91">
        <f>INT(C390*K390)</f>
        <v>0</v>
      </c>
    </row>
    <row r="391" spans="1:12" ht="15" customHeight="1">
      <c r="A391" s="129" t="s">
        <v>356</v>
      </c>
      <c r="B391" s="129" t="s">
        <v>434</v>
      </c>
      <c r="C391" s="73">
        <v>0.05</v>
      </c>
      <c r="D391" s="1"/>
      <c r="E391" s="91">
        <f>G391+I391+K391</f>
        <v>69800</v>
      </c>
      <c r="F391" s="91">
        <f>H391+J391+L391</f>
        <v>3490</v>
      </c>
      <c r="G391" s="91">
        <f>J390</f>
        <v>69800</v>
      </c>
      <c r="H391" s="91">
        <f>INT(C391*G391)</f>
        <v>3490</v>
      </c>
      <c r="I391" s="91"/>
      <c r="J391" s="91">
        <f>INT(C391*I391)</f>
        <v>0</v>
      </c>
      <c r="K391" s="91"/>
      <c r="L391" s="91">
        <f>INT(C391*K391)</f>
        <v>0</v>
      </c>
    </row>
    <row r="392" spans="1:12" ht="15" customHeight="1">
      <c r="A392" s="129" t="s">
        <v>617</v>
      </c>
      <c r="B392" s="126"/>
      <c r="C392" s="129"/>
      <c r="D392" s="1"/>
      <c r="E392" s="301"/>
      <c r="F392" s="301">
        <f>H392+J392+L392</f>
        <v>73290</v>
      </c>
      <c r="G392" s="301"/>
      <c r="H392" s="301">
        <f>SUM(H390:H391)</f>
        <v>3490</v>
      </c>
      <c r="I392" s="301"/>
      <c r="J392" s="301">
        <f>SUM(J390:J391)</f>
        <v>69800</v>
      </c>
      <c r="K392" s="301"/>
      <c r="L392" s="301">
        <f>SUM(L390:L391)</f>
        <v>0</v>
      </c>
    </row>
    <row r="393" spans="1:12" ht="15" customHeight="1">
      <c r="A393" s="209"/>
      <c r="B393" s="210"/>
      <c r="C393" s="95"/>
      <c r="D393" s="211"/>
      <c r="E393" s="212">
        <f>E389+1</f>
        <v>79</v>
      </c>
      <c r="F393" s="297" t="s">
        <v>1813</v>
      </c>
      <c r="G393" s="95"/>
      <c r="H393" s="298"/>
      <c r="I393" s="299"/>
      <c r="J393" s="298" t="s">
        <v>1809</v>
      </c>
      <c r="K393" s="299"/>
      <c r="L393" s="300"/>
    </row>
    <row r="394" spans="1:12" ht="15" customHeight="1">
      <c r="A394" s="129" t="s">
        <v>1807</v>
      </c>
      <c r="B394" s="129" t="s">
        <v>1811</v>
      </c>
      <c r="C394" s="421">
        <v>1</v>
      </c>
      <c r="D394" s="1" t="s">
        <v>1810</v>
      </c>
      <c r="E394" s="91">
        <f>G394+I394+K394</f>
        <v>66200</v>
      </c>
      <c r="F394" s="91">
        <f>H394+J394+L394</f>
        <v>66200</v>
      </c>
      <c r="G394" s="91">
        <v>0</v>
      </c>
      <c r="H394" s="91">
        <f>INT(C394*G394)</f>
        <v>0</v>
      </c>
      <c r="I394" s="91">
        <f>자재!F149</f>
        <v>66200</v>
      </c>
      <c r="J394" s="91">
        <f>INT(C394*I394)</f>
        <v>66200</v>
      </c>
      <c r="K394" s="91">
        <v>0</v>
      </c>
      <c r="L394" s="91">
        <f>INT(C394*K394)</f>
        <v>0</v>
      </c>
    </row>
    <row r="395" spans="1:12" ht="15" customHeight="1">
      <c r="A395" s="129" t="s">
        <v>356</v>
      </c>
      <c r="B395" s="129" t="s">
        <v>434</v>
      </c>
      <c r="C395" s="73">
        <v>0.05</v>
      </c>
      <c r="D395" s="1"/>
      <c r="E395" s="91">
        <f>G395+I395+K395</f>
        <v>66200</v>
      </c>
      <c r="F395" s="91">
        <f>H395+J395+L395</f>
        <v>3310</v>
      </c>
      <c r="G395" s="91">
        <f>J394</f>
        <v>66200</v>
      </c>
      <c r="H395" s="91">
        <f>INT(C395*G395)</f>
        <v>3310</v>
      </c>
      <c r="I395" s="91"/>
      <c r="J395" s="91">
        <f>INT(C395*I395)</f>
        <v>0</v>
      </c>
      <c r="K395" s="91"/>
      <c r="L395" s="91">
        <f>INT(C395*K395)</f>
        <v>0</v>
      </c>
    </row>
    <row r="396" spans="1:12" ht="15" customHeight="1">
      <c r="A396" s="129" t="s">
        <v>617</v>
      </c>
      <c r="B396" s="126"/>
      <c r="C396" s="129"/>
      <c r="D396" s="1"/>
      <c r="E396" s="301"/>
      <c r="F396" s="301">
        <f>H396+J396+L396</f>
        <v>69510</v>
      </c>
      <c r="G396" s="301"/>
      <c r="H396" s="301">
        <f>SUM(H394:H395)</f>
        <v>3310</v>
      </c>
      <c r="I396" s="301"/>
      <c r="J396" s="301">
        <f>SUM(J394:J395)</f>
        <v>66200</v>
      </c>
      <c r="K396" s="301"/>
      <c r="L396" s="301">
        <f>SUM(L394:L395)</f>
        <v>0</v>
      </c>
    </row>
    <row r="397" spans="1:12" ht="15" customHeight="1">
      <c r="A397" s="209"/>
      <c r="B397" s="210"/>
      <c r="C397" s="95"/>
      <c r="D397" s="211"/>
      <c r="E397" s="212">
        <f>E393+1</f>
        <v>80</v>
      </c>
      <c r="F397" s="297" t="s">
        <v>1699</v>
      </c>
      <c r="G397" s="95"/>
      <c r="H397" s="298"/>
      <c r="I397" s="299"/>
      <c r="J397" s="298" t="s">
        <v>1698</v>
      </c>
      <c r="K397" s="299"/>
      <c r="L397" s="300"/>
    </row>
    <row r="398" spans="1:12" ht="15" customHeight="1">
      <c r="A398" s="129" t="s">
        <v>1547</v>
      </c>
      <c r="B398" s="129" t="s">
        <v>747</v>
      </c>
      <c r="C398" s="421">
        <v>6</v>
      </c>
      <c r="D398" s="1" t="s">
        <v>640</v>
      </c>
      <c r="E398" s="91">
        <f>G398+I398+K398</f>
        <v>16850</v>
      </c>
      <c r="F398" s="91">
        <f>H398+J398+L398</f>
        <v>101100</v>
      </c>
      <c r="G398" s="91">
        <v>0</v>
      </c>
      <c r="H398" s="91">
        <f>INT(C398*G398)</f>
        <v>0</v>
      </c>
      <c r="I398" s="91">
        <f>I334</f>
        <v>16850</v>
      </c>
      <c r="J398" s="91">
        <f>INT(C398*I398)</f>
        <v>101100</v>
      </c>
      <c r="K398" s="91">
        <v>0</v>
      </c>
      <c r="L398" s="91">
        <f>INT(C398*K398)</f>
        <v>0</v>
      </c>
    </row>
    <row r="399" spans="1:12" ht="15" customHeight="1">
      <c r="A399" s="129" t="s">
        <v>1695</v>
      </c>
      <c r="B399" s="129" t="s">
        <v>1696</v>
      </c>
      <c r="C399" s="421">
        <v>1</v>
      </c>
      <c r="D399" s="1" t="s">
        <v>1697</v>
      </c>
      <c r="E399" s="91"/>
      <c r="F399" s="91"/>
      <c r="G399" s="91"/>
      <c r="H399" s="91"/>
      <c r="I399" s="91">
        <f>자재!F260</f>
        <v>110000</v>
      </c>
      <c r="J399" s="91">
        <f>INT(C399*I399)</f>
        <v>110000</v>
      </c>
      <c r="K399" s="91"/>
      <c r="L399" s="91"/>
    </row>
    <row r="400" spans="1:12" ht="15" customHeight="1">
      <c r="A400" s="129" t="s">
        <v>1549</v>
      </c>
      <c r="B400" s="129" t="s">
        <v>749</v>
      </c>
      <c r="C400" s="73">
        <v>2.3E-2</v>
      </c>
      <c r="D400" s="1" t="s">
        <v>30</v>
      </c>
      <c r="E400" s="91">
        <f>G400+I400+K400</f>
        <v>238145</v>
      </c>
      <c r="F400" s="91">
        <f>H400+J400+L400</f>
        <v>5477</v>
      </c>
      <c r="G400" s="91">
        <f>G335</f>
        <v>238145</v>
      </c>
      <c r="H400" s="91">
        <f>INT(C400*G400)</f>
        <v>5477</v>
      </c>
      <c r="I400" s="91"/>
      <c r="J400" s="91">
        <f>INT(C400*I400)</f>
        <v>0</v>
      </c>
      <c r="K400" s="91"/>
      <c r="L400" s="91">
        <f>INT(C400*K400)</f>
        <v>0</v>
      </c>
    </row>
    <row r="401" spans="1:12" ht="15" customHeight="1">
      <c r="A401" s="129" t="s">
        <v>27</v>
      </c>
      <c r="B401" s="129" t="s">
        <v>750</v>
      </c>
      <c r="C401" s="73">
        <v>0.03</v>
      </c>
      <c r="D401" s="1" t="s">
        <v>30</v>
      </c>
      <c r="E401" s="91">
        <f>G401+I401+K401</f>
        <v>172068</v>
      </c>
      <c r="F401" s="91">
        <f>H401+J401+L401</f>
        <v>5162</v>
      </c>
      <c r="G401" s="91">
        <f>G336</f>
        <v>172068</v>
      </c>
      <c r="H401" s="91">
        <f>INT(C401*G401)</f>
        <v>5162</v>
      </c>
      <c r="I401" s="91"/>
      <c r="J401" s="91">
        <f>INT(C401*I401)</f>
        <v>0</v>
      </c>
      <c r="K401" s="91"/>
      <c r="L401" s="91">
        <f>INT(C401*K401)</f>
        <v>0</v>
      </c>
    </row>
    <row r="402" spans="1:12" ht="15" customHeight="1">
      <c r="A402" s="129" t="s">
        <v>617</v>
      </c>
      <c r="B402" s="126"/>
      <c r="C402" s="129"/>
      <c r="D402" s="1"/>
      <c r="E402" s="301"/>
      <c r="F402" s="301">
        <f>H402+J402+L402</f>
        <v>221739</v>
      </c>
      <c r="G402" s="301"/>
      <c r="H402" s="301">
        <f>SUM(H398:H401)</f>
        <v>10639</v>
      </c>
      <c r="I402" s="301"/>
      <c r="J402" s="301">
        <f>SUM(J398:J401)</f>
        <v>211100</v>
      </c>
      <c r="K402" s="301"/>
      <c r="L402" s="301">
        <f>SUM(L398:L401)</f>
        <v>0</v>
      </c>
    </row>
    <row r="403" spans="1:12" ht="15" customHeight="1">
      <c r="A403" s="209"/>
      <c r="B403" s="210"/>
      <c r="C403" s="95"/>
      <c r="D403" s="211"/>
      <c r="E403" s="212">
        <f>E397+1</f>
        <v>81</v>
      </c>
      <c r="F403" s="297" t="s">
        <v>1709</v>
      </c>
      <c r="G403" s="95"/>
      <c r="H403" s="298"/>
      <c r="I403" s="299"/>
      <c r="J403" s="298" t="s">
        <v>1700</v>
      </c>
      <c r="K403" s="299"/>
      <c r="L403" s="300"/>
    </row>
    <row r="404" spans="1:12" ht="15" customHeight="1">
      <c r="A404" s="129" t="s">
        <v>1701</v>
      </c>
      <c r="B404" s="129" t="s">
        <v>1703</v>
      </c>
      <c r="C404" s="421">
        <v>10</v>
      </c>
      <c r="D404" s="1" t="s">
        <v>1702</v>
      </c>
      <c r="E404" s="91">
        <f t="shared" ref="E404:F406" si="58">G404+I404+K404</f>
        <v>1071</v>
      </c>
      <c r="F404" s="91">
        <f t="shared" si="58"/>
        <v>10710</v>
      </c>
      <c r="G404" s="91">
        <f>중기일람!D36</f>
        <v>0</v>
      </c>
      <c r="H404" s="91">
        <f>INT(C404*G404)</f>
        <v>0</v>
      </c>
      <c r="I404" s="91">
        <f>중기일람!E36</f>
        <v>916</v>
      </c>
      <c r="J404" s="91">
        <f>INT(C404*I404)</f>
        <v>9160</v>
      </c>
      <c r="K404" s="91">
        <f>중기일람!F36</f>
        <v>155</v>
      </c>
      <c r="L404" s="91">
        <f>INT(C404*K404)</f>
        <v>1550</v>
      </c>
    </row>
    <row r="405" spans="1:12" ht="15" customHeight="1">
      <c r="A405" s="129" t="s">
        <v>1704</v>
      </c>
      <c r="B405" s="129"/>
      <c r="C405" s="421">
        <v>0.16</v>
      </c>
      <c r="D405" s="1" t="s">
        <v>1707</v>
      </c>
      <c r="E405" s="91">
        <f t="shared" si="58"/>
        <v>260920</v>
      </c>
      <c r="F405" s="91">
        <f t="shared" si="58"/>
        <v>41747</v>
      </c>
      <c r="G405" s="91">
        <f>노임!F6</f>
        <v>170920</v>
      </c>
      <c r="H405" s="91">
        <f>INT(C405*G405)</f>
        <v>27347</v>
      </c>
      <c r="I405" s="91">
        <f>자재!F265</f>
        <v>90000</v>
      </c>
      <c r="J405" s="91">
        <f>INT(C405*I405)</f>
        <v>14400</v>
      </c>
      <c r="K405" s="91"/>
      <c r="L405" s="91"/>
    </row>
    <row r="406" spans="1:12" ht="15" customHeight="1">
      <c r="A406" s="129" t="s">
        <v>1705</v>
      </c>
      <c r="B406" s="129" t="s">
        <v>1706</v>
      </c>
      <c r="C406" s="421">
        <v>0.01</v>
      </c>
      <c r="D406" s="1"/>
      <c r="E406" s="91">
        <f t="shared" si="58"/>
        <v>0</v>
      </c>
      <c r="F406" s="91">
        <f t="shared" si="58"/>
        <v>524</v>
      </c>
      <c r="G406" s="91">
        <v>0</v>
      </c>
      <c r="H406" s="91">
        <f>INT(C406*G406)</f>
        <v>0</v>
      </c>
      <c r="I406" s="91"/>
      <c r="J406" s="91">
        <f>INT((F404+F405)*C406)</f>
        <v>524</v>
      </c>
      <c r="K406" s="91"/>
      <c r="L406" s="91">
        <f>INT(C406*K406)</f>
        <v>0</v>
      </c>
    </row>
    <row r="407" spans="1:12" ht="15" customHeight="1">
      <c r="A407" s="129" t="s">
        <v>617</v>
      </c>
      <c r="B407" s="126"/>
      <c r="C407" s="129"/>
      <c r="D407" s="1"/>
      <c r="E407" s="301"/>
      <c r="F407" s="301">
        <f>H407+J407+L407</f>
        <v>52981</v>
      </c>
      <c r="G407" s="301"/>
      <c r="H407" s="301">
        <f>SUM(H404:H406)</f>
        <v>27347</v>
      </c>
      <c r="I407" s="301"/>
      <c r="J407" s="301">
        <f>SUM(J404:J406)</f>
        <v>24084</v>
      </c>
      <c r="K407" s="301"/>
      <c r="L407" s="301">
        <f>SUM(L404:L406)</f>
        <v>1550</v>
      </c>
    </row>
    <row r="408" spans="1:12" ht="15" customHeight="1">
      <c r="A408" s="209"/>
      <c r="B408" s="210"/>
      <c r="C408" s="95"/>
      <c r="D408" s="211"/>
      <c r="E408" s="212">
        <f>E403+1</f>
        <v>82</v>
      </c>
      <c r="F408" s="297" t="s">
        <v>1710</v>
      </c>
      <c r="G408" s="95"/>
      <c r="H408" s="298"/>
      <c r="I408" s="299"/>
      <c r="J408" s="298" t="s">
        <v>1712</v>
      </c>
      <c r="K408" s="299"/>
      <c r="L408" s="300"/>
    </row>
    <row r="409" spans="1:12" ht="15" customHeight="1">
      <c r="A409" s="129" t="s">
        <v>1711</v>
      </c>
      <c r="B409" s="129"/>
      <c r="C409" s="73">
        <v>0.2</v>
      </c>
      <c r="D409" s="1" t="s">
        <v>30</v>
      </c>
      <c r="E409" s="91">
        <f>G409+I409+K409</f>
        <v>215907</v>
      </c>
      <c r="F409" s="91">
        <f>H409+J409+L409</f>
        <v>43181</v>
      </c>
      <c r="G409" s="91">
        <f>노임!D11</f>
        <v>215907</v>
      </c>
      <c r="H409" s="91">
        <f>INT(C409*G409)</f>
        <v>43181</v>
      </c>
      <c r="I409" s="91"/>
      <c r="J409" s="91">
        <f>INT(C409*I409)</f>
        <v>0</v>
      </c>
      <c r="K409" s="91"/>
      <c r="L409" s="91">
        <f>INT(C409*K409)</f>
        <v>0</v>
      </c>
    </row>
    <row r="410" spans="1:12" ht="15" customHeight="1">
      <c r="A410" s="129" t="s">
        <v>27</v>
      </c>
      <c r="B410" s="129"/>
      <c r="C410" s="73">
        <v>2.8</v>
      </c>
      <c r="D410" s="1" t="s">
        <v>30</v>
      </c>
      <c r="E410" s="91">
        <f>G410+I410+K410</f>
        <v>172068</v>
      </c>
      <c r="F410" s="91">
        <f>H410+J410+L410</f>
        <v>481790</v>
      </c>
      <c r="G410" s="91">
        <f>노임!D14</f>
        <v>172068</v>
      </c>
      <c r="H410" s="91">
        <f>INT(C410*G410)</f>
        <v>481790</v>
      </c>
      <c r="I410" s="91"/>
      <c r="J410" s="91">
        <f>INT(C410*I410)</f>
        <v>0</v>
      </c>
      <c r="K410" s="91"/>
      <c r="L410" s="91">
        <f>INT(C410*K410)</f>
        <v>0</v>
      </c>
    </row>
    <row r="411" spans="1:12" ht="15" customHeight="1">
      <c r="A411" s="129" t="s">
        <v>617</v>
      </c>
      <c r="B411" s="126"/>
      <c r="C411" s="129"/>
      <c r="D411" s="1"/>
      <c r="E411" s="301"/>
      <c r="F411" s="301">
        <f>H411+J411+L411</f>
        <v>524971</v>
      </c>
      <c r="G411" s="301"/>
      <c r="H411" s="301">
        <f>SUM(H409:H410)</f>
        <v>524971</v>
      </c>
      <c r="I411" s="301"/>
      <c r="J411" s="301">
        <f>SUM(J409:J410)</f>
        <v>0</v>
      </c>
      <c r="K411" s="301"/>
      <c r="L411" s="301">
        <f>SUM(L409:L410)</f>
        <v>0</v>
      </c>
    </row>
    <row r="412" spans="1:12" ht="15" customHeight="1">
      <c r="A412" s="209"/>
      <c r="B412" s="210"/>
      <c r="C412" s="95"/>
      <c r="D412" s="211"/>
      <c r="E412" s="212">
        <f>E408+1</f>
        <v>83</v>
      </c>
      <c r="F412" s="297" t="s">
        <v>2241</v>
      </c>
      <c r="G412" s="95"/>
      <c r="H412" s="298"/>
      <c r="I412" s="299"/>
      <c r="J412" s="298" t="s">
        <v>2140</v>
      </c>
      <c r="K412" s="299"/>
      <c r="L412" s="300"/>
    </row>
    <row r="413" spans="1:12" ht="15" customHeight="1">
      <c r="A413" s="129" t="s">
        <v>1846</v>
      </c>
      <c r="B413" s="129" t="s">
        <v>2246</v>
      </c>
      <c r="C413" s="421">
        <v>1</v>
      </c>
      <c r="D413" s="1" t="s">
        <v>640</v>
      </c>
      <c r="E413" s="91" t="s">
        <v>1692</v>
      </c>
      <c r="F413" s="91" t="s">
        <v>1692</v>
      </c>
      <c r="G413" s="513" t="s">
        <v>1847</v>
      </c>
      <c r="H413" s="513" t="s">
        <v>1692</v>
      </c>
      <c r="I413" s="514" t="s">
        <v>1848</v>
      </c>
      <c r="J413" s="91" t="s">
        <v>1692</v>
      </c>
      <c r="K413" s="91">
        <v>0</v>
      </c>
      <c r="L413" s="91">
        <f>INT(C413*K413)</f>
        <v>0</v>
      </c>
    </row>
    <row r="414" spans="1:12" ht="15" customHeight="1">
      <c r="A414" s="129" t="s">
        <v>1549</v>
      </c>
      <c r="B414" s="129" t="s">
        <v>2242</v>
      </c>
      <c r="C414" s="73">
        <v>0.03</v>
      </c>
      <c r="D414" s="1" t="s">
        <v>30</v>
      </c>
      <c r="E414" s="91">
        <f t="shared" ref="E414:F416" si="59">G414+I414+K414</f>
        <v>238145</v>
      </c>
      <c r="F414" s="91">
        <f t="shared" si="59"/>
        <v>7144</v>
      </c>
      <c r="G414" s="91">
        <f>노임!D4</f>
        <v>238145</v>
      </c>
      <c r="H414" s="91">
        <f>INT(C414*G414)</f>
        <v>7144</v>
      </c>
      <c r="I414" s="91"/>
      <c r="J414" s="91">
        <f>INT(C414*I414)</f>
        <v>0</v>
      </c>
      <c r="K414" s="91"/>
      <c r="L414" s="91">
        <f>INT(C414*K414)</f>
        <v>0</v>
      </c>
    </row>
    <row r="415" spans="1:12" ht="15" customHeight="1">
      <c r="A415" s="129" t="s">
        <v>27</v>
      </c>
      <c r="B415" s="129" t="s">
        <v>2243</v>
      </c>
      <c r="C415" s="73">
        <v>1.4999999999999999E-2</v>
      </c>
      <c r="D415" s="1" t="s">
        <v>30</v>
      </c>
      <c r="E415" s="91">
        <f t="shared" si="59"/>
        <v>172068</v>
      </c>
      <c r="F415" s="91">
        <f t="shared" si="59"/>
        <v>2581</v>
      </c>
      <c r="G415" s="91">
        <f>G410</f>
        <v>172068</v>
      </c>
      <c r="H415" s="91">
        <f>INT(C415*G415)</f>
        <v>2581</v>
      </c>
      <c r="I415" s="91"/>
      <c r="J415" s="91">
        <f>INT(C415*I415)</f>
        <v>0</v>
      </c>
      <c r="K415" s="91"/>
      <c r="L415" s="91">
        <f>INT(C415*K415)</f>
        <v>0</v>
      </c>
    </row>
    <row r="416" spans="1:12" ht="15" customHeight="1">
      <c r="A416" s="129" t="s">
        <v>2196</v>
      </c>
      <c r="B416" s="129" t="s">
        <v>2244</v>
      </c>
      <c r="C416" s="73">
        <v>7.0000000000000007E-2</v>
      </c>
      <c r="D416" s="1" t="s">
        <v>1912</v>
      </c>
      <c r="E416" s="91">
        <f t="shared" si="59"/>
        <v>9725</v>
      </c>
      <c r="F416" s="91">
        <f t="shared" si="59"/>
        <v>680</v>
      </c>
      <c r="G416" s="91">
        <v>0</v>
      </c>
      <c r="H416" s="91">
        <f>INT(C416*G416)</f>
        <v>0</v>
      </c>
      <c r="I416" s="91">
        <f>I428</f>
        <v>0</v>
      </c>
      <c r="J416" s="91">
        <f>INT(C416*I416)</f>
        <v>0</v>
      </c>
      <c r="K416" s="91">
        <f>F414+F415</f>
        <v>9725</v>
      </c>
      <c r="L416" s="91">
        <f>INT(C416*K416)</f>
        <v>680</v>
      </c>
    </row>
    <row r="417" spans="1:12" ht="15" customHeight="1">
      <c r="A417" s="129" t="s">
        <v>617</v>
      </c>
      <c r="B417" s="126"/>
      <c r="C417" s="129"/>
      <c r="D417" s="1"/>
      <c r="E417" s="301"/>
      <c r="F417" s="301">
        <f>H417+J417+L417</f>
        <v>10405</v>
      </c>
      <c r="G417" s="301"/>
      <c r="H417" s="301">
        <f>SUM(H413:H416)</f>
        <v>9725</v>
      </c>
      <c r="I417" s="301"/>
      <c r="J417" s="301">
        <f>SUM(J413:J416)</f>
        <v>0</v>
      </c>
      <c r="K417" s="301"/>
      <c r="L417" s="301">
        <f>SUM(L413:L416)</f>
        <v>680</v>
      </c>
    </row>
    <row r="418" spans="1:12" ht="15" customHeight="1">
      <c r="A418" s="209"/>
      <c r="B418" s="210"/>
      <c r="C418" s="95"/>
      <c r="D418" s="211"/>
      <c r="E418" s="212">
        <f>E412+1</f>
        <v>84</v>
      </c>
      <c r="F418" s="297" t="s">
        <v>2245</v>
      </c>
      <c r="G418" s="95"/>
      <c r="H418" s="298"/>
      <c r="I418" s="299"/>
      <c r="J418" s="298" t="s">
        <v>2140</v>
      </c>
      <c r="K418" s="299"/>
      <c r="L418" s="300"/>
    </row>
    <row r="419" spans="1:12" ht="15" customHeight="1">
      <c r="A419" s="129" t="s">
        <v>2198</v>
      </c>
      <c r="B419" s="129" t="s">
        <v>2247</v>
      </c>
      <c r="C419" s="421">
        <v>1</v>
      </c>
      <c r="D419" s="1" t="s">
        <v>640</v>
      </c>
      <c r="E419" s="91" t="s">
        <v>1692</v>
      </c>
      <c r="F419" s="91" t="s">
        <v>1692</v>
      </c>
      <c r="G419" s="513" t="s">
        <v>1847</v>
      </c>
      <c r="H419" s="513" t="s">
        <v>1692</v>
      </c>
      <c r="I419" s="514" t="s">
        <v>1848</v>
      </c>
      <c r="J419" s="91" t="s">
        <v>1692</v>
      </c>
      <c r="K419" s="91">
        <v>0</v>
      </c>
      <c r="L419" s="91">
        <f>INT(C419*K419)</f>
        <v>0</v>
      </c>
    </row>
    <row r="420" spans="1:12" ht="15" customHeight="1">
      <c r="A420" s="129" t="s">
        <v>1549</v>
      </c>
      <c r="B420" s="129" t="s">
        <v>2248</v>
      </c>
      <c r="C420" s="73">
        <v>3.5000000000000003E-2</v>
      </c>
      <c r="D420" s="1" t="s">
        <v>30</v>
      </c>
      <c r="E420" s="91">
        <f t="shared" ref="E420:F422" si="60">G420+I420+K420</f>
        <v>238145</v>
      </c>
      <c r="F420" s="91">
        <f t="shared" si="60"/>
        <v>8335</v>
      </c>
      <c r="G420" s="91">
        <f>G414</f>
        <v>238145</v>
      </c>
      <c r="H420" s="91">
        <f>INT(C420*G420)</f>
        <v>8335</v>
      </c>
      <c r="I420" s="91"/>
      <c r="J420" s="91">
        <f>INT(C420*I420)</f>
        <v>0</v>
      </c>
      <c r="K420" s="91"/>
      <c r="L420" s="91">
        <f>INT(C420*K420)</f>
        <v>0</v>
      </c>
    </row>
    <row r="421" spans="1:12" ht="15" customHeight="1">
      <c r="A421" s="129" t="s">
        <v>27</v>
      </c>
      <c r="B421" s="129" t="s">
        <v>2249</v>
      </c>
      <c r="C421" s="73">
        <v>1.6E-2</v>
      </c>
      <c r="D421" s="1" t="s">
        <v>30</v>
      </c>
      <c r="E421" s="91">
        <f t="shared" si="60"/>
        <v>172068</v>
      </c>
      <c r="F421" s="91">
        <f t="shared" si="60"/>
        <v>2753</v>
      </c>
      <c r="G421" s="91">
        <f>G415</f>
        <v>172068</v>
      </c>
      <c r="H421" s="91">
        <f>INT(C421*G421)</f>
        <v>2753</v>
      </c>
      <c r="I421" s="91"/>
      <c r="J421" s="91">
        <f>INT(C421*I421)</f>
        <v>0</v>
      </c>
      <c r="K421" s="91"/>
      <c r="L421" s="91">
        <f>INT(C421*K421)</f>
        <v>0</v>
      </c>
    </row>
    <row r="422" spans="1:12" ht="15" customHeight="1">
      <c r="A422" s="129" t="s">
        <v>2196</v>
      </c>
      <c r="B422" s="129" t="s">
        <v>2244</v>
      </c>
      <c r="C422" s="73">
        <v>7.0000000000000007E-2</v>
      </c>
      <c r="D422" s="1" t="s">
        <v>1912</v>
      </c>
      <c r="E422" s="91">
        <f t="shared" si="60"/>
        <v>11088</v>
      </c>
      <c r="F422" s="91">
        <f t="shared" si="60"/>
        <v>776</v>
      </c>
      <c r="G422" s="91">
        <v>0</v>
      </c>
      <c r="H422" s="91">
        <f>INT(C422*G422)</f>
        <v>0</v>
      </c>
      <c r="I422" s="91">
        <f>I433</f>
        <v>0</v>
      </c>
      <c r="J422" s="91">
        <f>INT(C422*I422)</f>
        <v>0</v>
      </c>
      <c r="K422" s="91">
        <f>F420+F421</f>
        <v>11088</v>
      </c>
      <c r="L422" s="91">
        <f>INT(C422*K422)</f>
        <v>776</v>
      </c>
    </row>
    <row r="423" spans="1:12" ht="15" customHeight="1">
      <c r="A423" s="129" t="s">
        <v>617</v>
      </c>
      <c r="B423" s="126"/>
      <c r="C423" s="129"/>
      <c r="D423" s="1"/>
      <c r="E423" s="301"/>
      <c r="F423" s="301">
        <f>H423+J423+L423</f>
        <v>11864</v>
      </c>
      <c r="G423" s="301"/>
      <c r="H423" s="301">
        <f>SUM(H419:H422)</f>
        <v>11088</v>
      </c>
      <c r="I423" s="301"/>
      <c r="J423" s="301">
        <f>SUM(J419:J422)</f>
        <v>0</v>
      </c>
      <c r="K423" s="301"/>
      <c r="L423" s="301">
        <f>SUM(L419:L422)</f>
        <v>776</v>
      </c>
    </row>
    <row r="424" spans="1:12" ht="15" customHeight="1">
      <c r="A424" s="209"/>
      <c r="B424" s="210"/>
      <c r="C424" s="95"/>
      <c r="D424" s="211"/>
      <c r="E424" s="212">
        <f>E418+1</f>
        <v>85</v>
      </c>
      <c r="F424" s="297" t="s">
        <v>2197</v>
      </c>
      <c r="G424" s="95"/>
      <c r="H424" s="298"/>
      <c r="I424" s="299"/>
      <c r="J424" s="298" t="s">
        <v>2140</v>
      </c>
      <c r="K424" s="299"/>
      <c r="L424" s="300"/>
    </row>
    <row r="425" spans="1:12" ht="15" customHeight="1">
      <c r="A425" s="129" t="s">
        <v>1846</v>
      </c>
      <c r="B425" s="129" t="s">
        <v>2199</v>
      </c>
      <c r="C425" s="421">
        <v>1</v>
      </c>
      <c r="D425" s="1" t="s">
        <v>640</v>
      </c>
      <c r="E425" s="91" t="s">
        <v>1692</v>
      </c>
      <c r="F425" s="91" t="s">
        <v>1692</v>
      </c>
      <c r="G425" s="513" t="s">
        <v>1847</v>
      </c>
      <c r="H425" s="513" t="s">
        <v>1692</v>
      </c>
      <c r="I425" s="514" t="s">
        <v>1848</v>
      </c>
      <c r="J425" s="91" t="s">
        <v>1692</v>
      </c>
      <c r="K425" s="91">
        <v>0</v>
      </c>
      <c r="L425" s="91">
        <f>INT(C425*K425)</f>
        <v>0</v>
      </c>
    </row>
    <row r="426" spans="1:12" ht="15" customHeight="1">
      <c r="A426" s="129" t="s">
        <v>1549</v>
      </c>
      <c r="B426" s="129" t="s">
        <v>2250</v>
      </c>
      <c r="C426" s="73">
        <v>0.04</v>
      </c>
      <c r="D426" s="1" t="s">
        <v>30</v>
      </c>
      <c r="E426" s="91">
        <f t="shared" ref="E426:F428" si="61">G426+I426+K426</f>
        <v>238145</v>
      </c>
      <c r="F426" s="91">
        <f t="shared" si="61"/>
        <v>9525</v>
      </c>
      <c r="G426" s="91">
        <f>G414</f>
        <v>238145</v>
      </c>
      <c r="H426" s="91">
        <f>INT(C426*G426)</f>
        <v>9525</v>
      </c>
      <c r="I426" s="91"/>
      <c r="J426" s="91">
        <f>INT(C426*I426)</f>
        <v>0</v>
      </c>
      <c r="K426" s="91"/>
      <c r="L426" s="91">
        <f>INT(C426*K426)</f>
        <v>0</v>
      </c>
    </row>
    <row r="427" spans="1:12" ht="15" customHeight="1">
      <c r="A427" s="129" t="s">
        <v>27</v>
      </c>
      <c r="B427" s="129" t="s">
        <v>2251</v>
      </c>
      <c r="C427" s="73">
        <v>0.02</v>
      </c>
      <c r="D427" s="1" t="s">
        <v>30</v>
      </c>
      <c r="E427" s="91">
        <f t="shared" si="61"/>
        <v>172068</v>
      </c>
      <c r="F427" s="91">
        <f t="shared" si="61"/>
        <v>3441</v>
      </c>
      <c r="G427" s="91">
        <f>G415</f>
        <v>172068</v>
      </c>
      <c r="H427" s="91">
        <f>INT(C427*G427)</f>
        <v>3441</v>
      </c>
      <c r="I427" s="91"/>
      <c r="J427" s="91">
        <f>INT(C427*I427)</f>
        <v>0</v>
      </c>
      <c r="K427" s="91"/>
      <c r="L427" s="91">
        <f>INT(C427*K427)</f>
        <v>0</v>
      </c>
    </row>
    <row r="428" spans="1:12" ht="15" customHeight="1">
      <c r="A428" s="129" t="s">
        <v>2196</v>
      </c>
      <c r="B428" s="129" t="s">
        <v>2244</v>
      </c>
      <c r="C428" s="73">
        <v>7.0000000000000007E-2</v>
      </c>
      <c r="D428" s="1" t="s">
        <v>1912</v>
      </c>
      <c r="E428" s="91">
        <f t="shared" si="61"/>
        <v>12966</v>
      </c>
      <c r="F428" s="91">
        <f t="shared" si="61"/>
        <v>907</v>
      </c>
      <c r="G428" s="91">
        <v>0</v>
      </c>
      <c r="H428" s="91">
        <f>INT(C428*G428)</f>
        <v>0</v>
      </c>
      <c r="I428" s="91">
        <v>0</v>
      </c>
      <c r="J428" s="91">
        <f>INT(C428*I428)</f>
        <v>0</v>
      </c>
      <c r="K428" s="91">
        <f>F426+F427</f>
        <v>12966</v>
      </c>
      <c r="L428" s="91">
        <f>INT(C428*K428)</f>
        <v>907</v>
      </c>
    </row>
    <row r="429" spans="1:12" ht="15" customHeight="1">
      <c r="A429" s="129" t="s">
        <v>617</v>
      </c>
      <c r="B429" s="126"/>
      <c r="C429" s="129"/>
      <c r="D429" s="1"/>
      <c r="E429" s="301"/>
      <c r="F429" s="301">
        <f>H429+J429+L429</f>
        <v>13873</v>
      </c>
      <c r="G429" s="301"/>
      <c r="H429" s="301">
        <f>SUM(H425:H428)</f>
        <v>12966</v>
      </c>
      <c r="I429" s="301"/>
      <c r="J429" s="301">
        <f>SUM(J425:J428)</f>
        <v>0</v>
      </c>
      <c r="K429" s="301"/>
      <c r="L429" s="301">
        <f>SUM(L425:L428)</f>
        <v>907</v>
      </c>
    </row>
    <row r="430" spans="1:12" ht="15" customHeight="1">
      <c r="A430" s="209"/>
      <c r="B430" s="210"/>
      <c r="C430" s="95"/>
      <c r="D430" s="211"/>
      <c r="E430" s="212">
        <f>E424+1</f>
        <v>86</v>
      </c>
      <c r="F430" s="297" t="s">
        <v>2209</v>
      </c>
      <c r="G430" s="95"/>
      <c r="H430" s="298"/>
      <c r="I430" s="299"/>
      <c r="J430" s="298" t="s">
        <v>2140</v>
      </c>
      <c r="K430" s="299"/>
      <c r="L430" s="300"/>
    </row>
    <row r="431" spans="1:12" ht="15" customHeight="1">
      <c r="A431" s="129" t="s">
        <v>1849</v>
      </c>
      <c r="B431" s="129" t="s">
        <v>2201</v>
      </c>
      <c r="C431" s="421">
        <v>6</v>
      </c>
      <c r="D431" s="1" t="s">
        <v>640</v>
      </c>
      <c r="E431" s="91" t="s">
        <v>1692</v>
      </c>
      <c r="F431" s="91" t="s">
        <v>1692</v>
      </c>
      <c r="G431" s="513" t="s">
        <v>1847</v>
      </c>
      <c r="H431" s="513" t="s">
        <v>1692</v>
      </c>
      <c r="I431" s="514" t="s">
        <v>1848</v>
      </c>
      <c r="J431" s="91" t="s">
        <v>1692</v>
      </c>
      <c r="K431" s="91">
        <v>0</v>
      </c>
      <c r="L431" s="91">
        <f>INT(C431*K431)</f>
        <v>0</v>
      </c>
    </row>
    <row r="432" spans="1:12" ht="15" customHeight="1">
      <c r="A432" s="129" t="s">
        <v>1549</v>
      </c>
      <c r="B432" s="129" t="s">
        <v>2204</v>
      </c>
      <c r="C432" s="73">
        <v>5.6000000000000001E-2</v>
      </c>
      <c r="D432" s="1" t="s">
        <v>30</v>
      </c>
      <c r="E432" s="91">
        <f t="shared" ref="E432:F434" si="62">G432+I432+K432</f>
        <v>238145</v>
      </c>
      <c r="F432" s="91">
        <f t="shared" si="62"/>
        <v>13336</v>
      </c>
      <c r="G432" s="91">
        <f>G426</f>
        <v>238145</v>
      </c>
      <c r="H432" s="91">
        <f>INT(C432*G432)</f>
        <v>13336</v>
      </c>
      <c r="I432" s="91"/>
      <c r="J432" s="91">
        <f>INT(C432*I432)</f>
        <v>0</v>
      </c>
      <c r="K432" s="91"/>
      <c r="L432" s="91">
        <f>INT(C432*K432)</f>
        <v>0</v>
      </c>
    </row>
    <row r="433" spans="1:12" ht="15" customHeight="1">
      <c r="A433" s="129" t="s">
        <v>27</v>
      </c>
      <c r="B433" s="129" t="s">
        <v>2205</v>
      </c>
      <c r="C433" s="73">
        <v>0.02</v>
      </c>
      <c r="D433" s="1" t="s">
        <v>30</v>
      </c>
      <c r="E433" s="91">
        <f t="shared" si="62"/>
        <v>172068</v>
      </c>
      <c r="F433" s="91">
        <f t="shared" si="62"/>
        <v>3441</v>
      </c>
      <c r="G433" s="91">
        <f>G427</f>
        <v>172068</v>
      </c>
      <c r="H433" s="91">
        <f>INT(C433*G433)</f>
        <v>3441</v>
      </c>
      <c r="I433" s="91"/>
      <c r="J433" s="91">
        <f>INT(C433*I433)</f>
        <v>0</v>
      </c>
      <c r="K433" s="91"/>
      <c r="L433" s="91">
        <f>INT(C433*K433)</f>
        <v>0</v>
      </c>
    </row>
    <row r="434" spans="1:12" ht="15" customHeight="1">
      <c r="A434" s="129" t="s">
        <v>2196</v>
      </c>
      <c r="B434" s="129" t="s">
        <v>2244</v>
      </c>
      <c r="C434" s="73">
        <v>7.0000000000000007E-2</v>
      </c>
      <c r="D434" s="1" t="s">
        <v>1912</v>
      </c>
      <c r="E434" s="91">
        <f t="shared" si="62"/>
        <v>16777</v>
      </c>
      <c r="F434" s="91">
        <f t="shared" si="62"/>
        <v>1174</v>
      </c>
      <c r="G434" s="91">
        <v>0</v>
      </c>
      <c r="H434" s="91">
        <f>INT(C434*G434)</f>
        <v>0</v>
      </c>
      <c r="I434" s="91">
        <v>0</v>
      </c>
      <c r="J434" s="91">
        <f>INT(C434*I434)</f>
        <v>0</v>
      </c>
      <c r="K434" s="91">
        <f>F432+F433</f>
        <v>16777</v>
      </c>
      <c r="L434" s="91">
        <f>INT(C434*K434)</f>
        <v>1174</v>
      </c>
    </row>
    <row r="435" spans="1:12" ht="15" customHeight="1">
      <c r="A435" s="129" t="s">
        <v>617</v>
      </c>
      <c r="B435" s="126"/>
      <c r="C435" s="129"/>
      <c r="D435" s="1"/>
      <c r="E435" s="301"/>
      <c r="F435" s="301">
        <f>H435+J435+L435</f>
        <v>17951</v>
      </c>
      <c r="G435" s="301"/>
      <c r="H435" s="301">
        <f>SUM(H431:H434)</f>
        <v>16777</v>
      </c>
      <c r="I435" s="301"/>
      <c r="J435" s="301">
        <f>SUM(J431:J434)</f>
        <v>0</v>
      </c>
      <c r="K435" s="301"/>
      <c r="L435" s="301">
        <f>SUM(L431:L434)</f>
        <v>1174</v>
      </c>
    </row>
    <row r="436" spans="1:12" ht="15" customHeight="1">
      <c r="A436" s="209"/>
      <c r="B436" s="210"/>
      <c r="C436" s="95"/>
      <c r="D436" s="211"/>
      <c r="E436" s="212">
        <f>E430+1</f>
        <v>87</v>
      </c>
      <c r="F436" s="297" t="s">
        <v>2200</v>
      </c>
      <c r="G436" s="95"/>
      <c r="H436" s="298"/>
      <c r="I436" s="299"/>
      <c r="J436" s="298" t="s">
        <v>2140</v>
      </c>
      <c r="K436" s="299"/>
      <c r="L436" s="300"/>
    </row>
    <row r="437" spans="1:12" ht="15" customHeight="1">
      <c r="A437" s="129" t="s">
        <v>1846</v>
      </c>
      <c r="B437" s="129" t="s">
        <v>2202</v>
      </c>
      <c r="C437" s="421">
        <v>6</v>
      </c>
      <c r="D437" s="1" t="s">
        <v>640</v>
      </c>
      <c r="E437" s="91" t="s">
        <v>1692</v>
      </c>
      <c r="F437" s="91" t="s">
        <v>1692</v>
      </c>
      <c r="G437" s="513" t="s">
        <v>1847</v>
      </c>
      <c r="H437" s="513" t="s">
        <v>1692</v>
      </c>
      <c r="I437" s="514" t="s">
        <v>1848</v>
      </c>
      <c r="J437" s="91" t="s">
        <v>1692</v>
      </c>
      <c r="K437" s="91">
        <v>0</v>
      </c>
      <c r="L437" s="91">
        <f>INT(C437*K437)</f>
        <v>0</v>
      </c>
    </row>
    <row r="438" spans="1:12" ht="15" customHeight="1">
      <c r="A438" s="129" t="s">
        <v>1549</v>
      </c>
      <c r="B438" s="129" t="s">
        <v>2206</v>
      </c>
      <c r="C438" s="73">
        <v>0.06</v>
      </c>
      <c r="D438" s="1" t="s">
        <v>30</v>
      </c>
      <c r="E438" s="91">
        <f t="shared" ref="E438:F440" si="63">G438+I438+K438</f>
        <v>238145</v>
      </c>
      <c r="F438" s="91">
        <f t="shared" si="63"/>
        <v>14288</v>
      </c>
      <c r="G438" s="91">
        <f>노임!D4</f>
        <v>238145</v>
      </c>
      <c r="H438" s="91">
        <f>INT(C438*G438)</f>
        <v>14288</v>
      </c>
      <c r="I438" s="91"/>
      <c r="J438" s="91">
        <f>INT(C438*I438)</f>
        <v>0</v>
      </c>
      <c r="K438" s="91"/>
      <c r="L438" s="91">
        <f>INT(C438*K438)</f>
        <v>0</v>
      </c>
    </row>
    <row r="439" spans="1:12" ht="15" customHeight="1">
      <c r="A439" s="129" t="s">
        <v>27</v>
      </c>
      <c r="B439" s="129" t="s">
        <v>2205</v>
      </c>
      <c r="C439" s="73">
        <v>0.02</v>
      </c>
      <c r="D439" s="1" t="s">
        <v>30</v>
      </c>
      <c r="E439" s="91">
        <f t="shared" si="63"/>
        <v>172068</v>
      </c>
      <c r="F439" s="91">
        <f t="shared" si="63"/>
        <v>3441</v>
      </c>
      <c r="G439" s="91">
        <f>노임!D14</f>
        <v>172068</v>
      </c>
      <c r="H439" s="91">
        <f>INT(C439*G439)</f>
        <v>3441</v>
      </c>
      <c r="I439" s="91"/>
      <c r="J439" s="91">
        <f>INT(C439*I439)</f>
        <v>0</v>
      </c>
      <c r="K439" s="91"/>
      <c r="L439" s="91">
        <f>INT(C439*K439)</f>
        <v>0</v>
      </c>
    </row>
    <row r="440" spans="1:12" ht="15" customHeight="1">
      <c r="A440" s="129" t="s">
        <v>2196</v>
      </c>
      <c r="B440" s="129" t="s">
        <v>2244</v>
      </c>
      <c r="C440" s="73">
        <v>7.0000000000000007E-2</v>
      </c>
      <c r="D440" s="1" t="s">
        <v>1912</v>
      </c>
      <c r="E440" s="91">
        <f t="shared" si="63"/>
        <v>17729</v>
      </c>
      <c r="F440" s="91">
        <f t="shared" si="63"/>
        <v>1241</v>
      </c>
      <c r="G440" s="91">
        <f>G428</f>
        <v>0</v>
      </c>
      <c r="H440" s="91">
        <f>INT(C440*G440)</f>
        <v>0</v>
      </c>
      <c r="I440" s="91">
        <f>I428</f>
        <v>0</v>
      </c>
      <c r="J440" s="91">
        <f>INT(C440*I440)</f>
        <v>0</v>
      </c>
      <c r="K440" s="91">
        <f>F438+F439</f>
        <v>17729</v>
      </c>
      <c r="L440" s="91">
        <f>INT(C440*K440)</f>
        <v>1241</v>
      </c>
    </row>
    <row r="441" spans="1:12" ht="15" customHeight="1">
      <c r="A441" s="129" t="s">
        <v>617</v>
      </c>
      <c r="B441" s="126"/>
      <c r="C441" s="129"/>
      <c r="D441" s="1"/>
      <c r="E441" s="301"/>
      <c r="F441" s="301">
        <f>H441+J441+L441</f>
        <v>18970</v>
      </c>
      <c r="G441" s="301"/>
      <c r="H441" s="301">
        <f>SUM(H437:H440)</f>
        <v>17729</v>
      </c>
      <c r="I441" s="301"/>
      <c r="J441" s="301">
        <f>SUM(J437:J440)</f>
        <v>0</v>
      </c>
      <c r="K441" s="301"/>
      <c r="L441" s="301">
        <f>SUM(L437:L440)</f>
        <v>1241</v>
      </c>
    </row>
    <row r="442" spans="1:12" ht="15" customHeight="1">
      <c r="A442" s="209"/>
      <c r="B442" s="210"/>
      <c r="C442" s="95"/>
      <c r="D442" s="211"/>
      <c r="E442" s="212">
        <f>E436+1</f>
        <v>88</v>
      </c>
      <c r="F442" s="297" t="s">
        <v>2210</v>
      </c>
      <c r="G442" s="95"/>
      <c r="H442" s="298"/>
      <c r="I442" s="299"/>
      <c r="J442" s="298" t="s">
        <v>2164</v>
      </c>
      <c r="K442" s="299"/>
      <c r="L442" s="300"/>
    </row>
    <row r="443" spans="1:12" ht="15" customHeight="1">
      <c r="A443" s="129" t="s">
        <v>2198</v>
      </c>
      <c r="B443" s="129" t="s">
        <v>2203</v>
      </c>
      <c r="C443" s="421">
        <v>6</v>
      </c>
      <c r="D443" s="1" t="s">
        <v>640</v>
      </c>
      <c r="E443" s="91" t="s">
        <v>1692</v>
      </c>
      <c r="F443" s="91" t="s">
        <v>1692</v>
      </c>
      <c r="G443" s="513" t="s">
        <v>1847</v>
      </c>
      <c r="H443" s="513" t="s">
        <v>1692</v>
      </c>
      <c r="I443" s="514" t="s">
        <v>1848</v>
      </c>
      <c r="J443" s="91" t="s">
        <v>1692</v>
      </c>
      <c r="K443" s="91">
        <v>0</v>
      </c>
      <c r="L443" s="91">
        <f>INT(C443*K443)</f>
        <v>0</v>
      </c>
    </row>
    <row r="444" spans="1:12" ht="15" customHeight="1">
      <c r="A444" s="129" t="s">
        <v>1549</v>
      </c>
      <c r="B444" s="129" t="s">
        <v>2207</v>
      </c>
      <c r="C444" s="73">
        <v>6.5000000000000002E-2</v>
      </c>
      <c r="D444" s="1" t="s">
        <v>30</v>
      </c>
      <c r="E444" s="91">
        <f t="shared" ref="E444:F446" si="64">G444+I444+K444</f>
        <v>238145</v>
      </c>
      <c r="F444" s="91">
        <f t="shared" si="64"/>
        <v>15479</v>
      </c>
      <c r="G444" s="91">
        <f>G438</f>
        <v>238145</v>
      </c>
      <c r="H444" s="91">
        <f>INT(C444*G444)</f>
        <v>15479</v>
      </c>
      <c r="I444" s="91"/>
      <c r="J444" s="91">
        <f>INT(C444*I444)</f>
        <v>0</v>
      </c>
      <c r="K444" s="91"/>
      <c r="L444" s="91">
        <f>INT(C444*K444)</f>
        <v>0</v>
      </c>
    </row>
    <row r="445" spans="1:12" ht="15" customHeight="1">
      <c r="A445" s="129" t="s">
        <v>27</v>
      </c>
      <c r="B445" s="129" t="s">
        <v>2208</v>
      </c>
      <c r="C445" s="73">
        <v>2.1000000000000001E-2</v>
      </c>
      <c r="D445" s="1" t="s">
        <v>30</v>
      </c>
      <c r="E445" s="91">
        <f t="shared" si="64"/>
        <v>172068</v>
      </c>
      <c r="F445" s="91">
        <f t="shared" si="64"/>
        <v>3613</v>
      </c>
      <c r="G445" s="91">
        <f>G439</f>
        <v>172068</v>
      </c>
      <c r="H445" s="91">
        <f>INT(C445*G445)</f>
        <v>3613</v>
      </c>
      <c r="I445" s="91"/>
      <c r="J445" s="91">
        <f>INT(C445*I445)</f>
        <v>0</v>
      </c>
      <c r="K445" s="91"/>
      <c r="L445" s="91">
        <f>INT(C445*K445)</f>
        <v>0</v>
      </c>
    </row>
    <row r="446" spans="1:12" ht="15" customHeight="1">
      <c r="A446" s="129" t="s">
        <v>2196</v>
      </c>
      <c r="B446" s="129" t="s">
        <v>2244</v>
      </c>
      <c r="C446" s="73">
        <v>7.0000000000000007E-2</v>
      </c>
      <c r="D446" s="1" t="s">
        <v>1912</v>
      </c>
      <c r="E446" s="91">
        <f>G446+I446+K446</f>
        <v>19092</v>
      </c>
      <c r="F446" s="91">
        <f t="shared" si="64"/>
        <v>1336</v>
      </c>
      <c r="G446" s="91">
        <v>0</v>
      </c>
      <c r="H446" s="91">
        <f>INT(C446*G446)</f>
        <v>0</v>
      </c>
      <c r="I446" s="91">
        <v>0</v>
      </c>
      <c r="J446" s="91">
        <f>INT(C446*I446)</f>
        <v>0</v>
      </c>
      <c r="K446" s="91">
        <f>F444+F445</f>
        <v>19092</v>
      </c>
      <c r="L446" s="91">
        <f>INT(C446*K446)</f>
        <v>1336</v>
      </c>
    </row>
    <row r="447" spans="1:12" ht="15" customHeight="1">
      <c r="A447" s="129" t="s">
        <v>617</v>
      </c>
      <c r="B447" s="126"/>
      <c r="C447" s="129"/>
      <c r="D447" s="1"/>
      <c r="E447" s="301"/>
      <c r="F447" s="301">
        <f>H447+J447+L447</f>
        <v>20428</v>
      </c>
      <c r="G447" s="301"/>
      <c r="H447" s="301">
        <f>SUM(H444:H446)</f>
        <v>19092</v>
      </c>
      <c r="I447" s="301"/>
      <c r="J447" s="301">
        <f>SUM(J444:J446)</f>
        <v>0</v>
      </c>
      <c r="K447" s="301"/>
      <c r="L447" s="301">
        <f>SUM(L444:L446)</f>
        <v>1336</v>
      </c>
    </row>
    <row r="448" spans="1:12" ht="17.25" customHeight="1">
      <c r="A448" s="209"/>
      <c r="B448" s="210"/>
      <c r="C448" s="95"/>
      <c r="D448" s="211"/>
      <c r="E448" s="212">
        <f>E442+1</f>
        <v>89</v>
      </c>
      <c r="F448" s="297" t="s">
        <v>1863</v>
      </c>
      <c r="G448" s="297"/>
      <c r="H448" s="298"/>
      <c r="I448" s="298"/>
      <c r="J448" s="298" t="s">
        <v>1652</v>
      </c>
      <c r="K448" s="298"/>
      <c r="L448" s="300"/>
    </row>
    <row r="449" spans="1:12" ht="17.25" customHeight="1">
      <c r="A449" s="129" t="s">
        <v>930</v>
      </c>
      <c r="B449" s="130" t="s">
        <v>1855</v>
      </c>
      <c r="C449" s="512">
        <v>14.25</v>
      </c>
      <c r="D449" s="1" t="s">
        <v>990</v>
      </c>
      <c r="E449" s="91">
        <f t="shared" ref="E449:F458" si="65">G449+I449+K449</f>
        <v>4460</v>
      </c>
      <c r="F449" s="91">
        <f t="shared" si="65"/>
        <v>63555</v>
      </c>
      <c r="G449" s="27">
        <v>0</v>
      </c>
      <c r="H449" s="27">
        <f>INT(C449*G449)</f>
        <v>0</v>
      </c>
      <c r="I449" s="27">
        <v>4460</v>
      </c>
      <c r="J449" s="91">
        <f>INT(C449*I449)</f>
        <v>63555</v>
      </c>
      <c r="K449" s="27">
        <v>0</v>
      </c>
      <c r="L449" s="27">
        <f>INT(C449*K449)</f>
        <v>0</v>
      </c>
    </row>
    <row r="450" spans="1:12" ht="17.25" customHeight="1">
      <c r="A450" s="129" t="s">
        <v>1850</v>
      </c>
      <c r="B450" s="130" t="s">
        <v>1856</v>
      </c>
      <c r="C450" s="512">
        <v>1.26</v>
      </c>
      <c r="D450" s="1" t="s">
        <v>990</v>
      </c>
      <c r="E450" s="91">
        <f t="shared" si="65"/>
        <v>6770</v>
      </c>
      <c r="F450" s="91">
        <f t="shared" si="65"/>
        <v>8530</v>
      </c>
      <c r="G450" s="27">
        <v>0</v>
      </c>
      <c r="H450" s="27">
        <f t="shared" ref="H450:H458" si="66">INT(C450*G450)</f>
        <v>0</v>
      </c>
      <c r="I450" s="27">
        <v>6770</v>
      </c>
      <c r="J450" s="91">
        <f t="shared" ref="J450:J458" si="67">INT(C450*I450)</f>
        <v>8530</v>
      </c>
      <c r="K450" s="27">
        <v>0</v>
      </c>
      <c r="L450" s="27">
        <f t="shared" ref="L450:L458" si="68">INT(C450*K450)</f>
        <v>0</v>
      </c>
    </row>
    <row r="451" spans="1:12" ht="17.25" customHeight="1">
      <c r="A451" s="129" t="s">
        <v>1850</v>
      </c>
      <c r="B451" s="130" t="s">
        <v>1856</v>
      </c>
      <c r="C451" s="512">
        <v>6.048</v>
      </c>
      <c r="D451" s="1" t="s">
        <v>990</v>
      </c>
      <c r="E451" s="91">
        <f t="shared" si="65"/>
        <v>6770</v>
      </c>
      <c r="F451" s="91">
        <f t="shared" si="65"/>
        <v>40944</v>
      </c>
      <c r="G451" s="27">
        <v>0</v>
      </c>
      <c r="H451" s="27">
        <f t="shared" si="66"/>
        <v>0</v>
      </c>
      <c r="I451" s="27">
        <v>6770</v>
      </c>
      <c r="J451" s="91">
        <f t="shared" si="67"/>
        <v>40944</v>
      </c>
      <c r="K451" s="27">
        <v>0</v>
      </c>
      <c r="L451" s="27">
        <f t="shared" si="68"/>
        <v>0</v>
      </c>
    </row>
    <row r="452" spans="1:12" ht="17.25" customHeight="1">
      <c r="A452" s="129" t="s">
        <v>1851</v>
      </c>
      <c r="B452" s="130" t="s">
        <v>1857</v>
      </c>
      <c r="C452" s="512">
        <v>0.13500000000000001</v>
      </c>
      <c r="D452" s="1" t="s">
        <v>990</v>
      </c>
      <c r="E452" s="91">
        <f t="shared" si="65"/>
        <v>1584</v>
      </c>
      <c r="F452" s="91">
        <f t="shared" si="65"/>
        <v>213</v>
      </c>
      <c r="G452" s="27">
        <v>0</v>
      </c>
      <c r="H452" s="27">
        <f t="shared" si="66"/>
        <v>0</v>
      </c>
      <c r="I452" s="27">
        <v>1584</v>
      </c>
      <c r="J452" s="91">
        <f t="shared" si="67"/>
        <v>213</v>
      </c>
      <c r="K452" s="27">
        <v>0</v>
      </c>
      <c r="L452" s="27">
        <f t="shared" si="68"/>
        <v>0</v>
      </c>
    </row>
    <row r="453" spans="1:12" ht="17.25" customHeight="1">
      <c r="A453" s="129" t="s">
        <v>1850</v>
      </c>
      <c r="B453" s="130" t="s">
        <v>1858</v>
      </c>
      <c r="C453" s="512">
        <v>0.67200000000000004</v>
      </c>
      <c r="D453" s="1" t="s">
        <v>990</v>
      </c>
      <c r="E453" s="91">
        <f t="shared" si="65"/>
        <v>6770</v>
      </c>
      <c r="F453" s="91">
        <f t="shared" si="65"/>
        <v>4549</v>
      </c>
      <c r="G453" s="27">
        <v>0</v>
      </c>
      <c r="H453" s="27">
        <f t="shared" si="66"/>
        <v>0</v>
      </c>
      <c r="I453" s="27">
        <v>6770</v>
      </c>
      <c r="J453" s="91">
        <f t="shared" si="67"/>
        <v>4549</v>
      </c>
      <c r="K453" s="27">
        <v>0</v>
      </c>
      <c r="L453" s="27">
        <f t="shared" si="68"/>
        <v>0</v>
      </c>
    </row>
    <row r="454" spans="1:12" ht="17.25" customHeight="1">
      <c r="A454" s="129" t="s">
        <v>1852</v>
      </c>
      <c r="B454" s="130" t="s">
        <v>1855</v>
      </c>
      <c r="C454" s="512">
        <v>6.782</v>
      </c>
      <c r="D454" s="1" t="s">
        <v>990</v>
      </c>
      <c r="E454" s="91">
        <f t="shared" si="65"/>
        <v>4460</v>
      </c>
      <c r="F454" s="91">
        <f t="shared" si="65"/>
        <v>30247</v>
      </c>
      <c r="G454" s="27">
        <v>0</v>
      </c>
      <c r="H454" s="27">
        <f t="shared" si="66"/>
        <v>0</v>
      </c>
      <c r="I454" s="27">
        <v>4460</v>
      </c>
      <c r="J454" s="91">
        <f t="shared" si="67"/>
        <v>30247</v>
      </c>
      <c r="K454" s="27">
        <v>0</v>
      </c>
      <c r="L454" s="27">
        <f t="shared" si="68"/>
        <v>0</v>
      </c>
    </row>
    <row r="455" spans="1:12" ht="17.25" customHeight="1">
      <c r="A455" s="129" t="s">
        <v>1852</v>
      </c>
      <c r="B455" s="130" t="s">
        <v>1859</v>
      </c>
      <c r="C455" s="512">
        <v>5.0860000000000003</v>
      </c>
      <c r="D455" s="1" t="s">
        <v>990</v>
      </c>
      <c r="E455" s="91">
        <f t="shared" si="65"/>
        <v>4460</v>
      </c>
      <c r="F455" s="91">
        <f t="shared" si="65"/>
        <v>22683</v>
      </c>
      <c r="G455" s="27">
        <v>0</v>
      </c>
      <c r="H455" s="27">
        <f t="shared" si="66"/>
        <v>0</v>
      </c>
      <c r="I455" s="27">
        <v>4460</v>
      </c>
      <c r="J455" s="91">
        <f t="shared" si="67"/>
        <v>22683</v>
      </c>
      <c r="K455" s="27">
        <v>0</v>
      </c>
      <c r="L455" s="27">
        <f t="shared" si="68"/>
        <v>0</v>
      </c>
    </row>
    <row r="456" spans="1:12" ht="17.25" customHeight="1">
      <c r="A456" s="129" t="s">
        <v>1853</v>
      </c>
      <c r="B456" s="130" t="s">
        <v>1860</v>
      </c>
      <c r="C456" s="512">
        <v>6</v>
      </c>
      <c r="D456" s="1" t="s">
        <v>440</v>
      </c>
      <c r="E456" s="91">
        <f t="shared" si="65"/>
        <v>645</v>
      </c>
      <c r="F456" s="91">
        <f t="shared" si="65"/>
        <v>3870</v>
      </c>
      <c r="G456" s="27">
        <v>0</v>
      </c>
      <c r="H456" s="27">
        <f t="shared" si="66"/>
        <v>0</v>
      </c>
      <c r="I456" s="27">
        <v>645</v>
      </c>
      <c r="J456" s="91">
        <f t="shared" si="67"/>
        <v>3870</v>
      </c>
      <c r="K456" s="27">
        <v>0</v>
      </c>
      <c r="L456" s="27">
        <f t="shared" si="68"/>
        <v>0</v>
      </c>
    </row>
    <row r="457" spans="1:12" ht="17.25" customHeight="1">
      <c r="A457" s="129" t="s">
        <v>1854</v>
      </c>
      <c r="B457" s="130" t="s">
        <v>1861</v>
      </c>
      <c r="C457" s="512">
        <v>2.2919999999999998</v>
      </c>
      <c r="D457" s="1" t="s">
        <v>990</v>
      </c>
      <c r="E457" s="91">
        <f t="shared" si="65"/>
        <v>5560</v>
      </c>
      <c r="F457" s="91">
        <f t="shared" si="65"/>
        <v>12743</v>
      </c>
      <c r="G457" s="27">
        <v>0</v>
      </c>
      <c r="H457" s="27">
        <f t="shared" si="66"/>
        <v>0</v>
      </c>
      <c r="I457" s="27">
        <v>5560</v>
      </c>
      <c r="J457" s="91">
        <f t="shared" si="67"/>
        <v>12743</v>
      </c>
      <c r="K457" s="27">
        <v>0</v>
      </c>
      <c r="L457" s="27">
        <f t="shared" si="68"/>
        <v>0</v>
      </c>
    </row>
    <row r="458" spans="1:12" ht="17.25" customHeight="1">
      <c r="A458" s="129" t="s">
        <v>1862</v>
      </c>
      <c r="B458" s="130"/>
      <c r="C458" s="512">
        <f>SUM(C449:C457)-C456</f>
        <v>36.525000000000006</v>
      </c>
      <c r="D458" s="1" t="s">
        <v>990</v>
      </c>
      <c r="E458" s="91">
        <f t="shared" si="65"/>
        <v>7946</v>
      </c>
      <c r="F458" s="91">
        <f t="shared" si="65"/>
        <v>290227</v>
      </c>
      <c r="G458" s="27">
        <f>ROUNDDOWN(기초일람!F58/1000,0)</f>
        <v>7635</v>
      </c>
      <c r="H458" s="91">
        <f t="shared" si="66"/>
        <v>278868</v>
      </c>
      <c r="I458" s="27">
        <f>ROUNDDOWN(기초일람!G58/1000,0)</f>
        <v>71</v>
      </c>
      <c r="J458" s="91">
        <f t="shared" si="67"/>
        <v>2593</v>
      </c>
      <c r="K458" s="27">
        <f>ROUNDDOWN(기초일람!H58/1000,0)</f>
        <v>240</v>
      </c>
      <c r="L458" s="91">
        <f t="shared" si="68"/>
        <v>8766</v>
      </c>
    </row>
    <row r="459" spans="1:12" ht="17.25" customHeight="1">
      <c r="A459" s="129" t="s">
        <v>617</v>
      </c>
      <c r="B459" s="126"/>
      <c r="C459" s="129"/>
      <c r="D459" s="1"/>
      <c r="E459" s="301"/>
      <c r="F459" s="301">
        <f>H459+J459+L459</f>
        <v>477561</v>
      </c>
      <c r="G459" s="301"/>
      <c r="H459" s="301">
        <f>SUM(H449:H458)</f>
        <v>278868</v>
      </c>
      <c r="I459" s="301"/>
      <c r="J459" s="301">
        <f>SUM(J449:J458)</f>
        <v>189927</v>
      </c>
      <c r="K459" s="301"/>
      <c r="L459" s="301">
        <f>SUM(L449:L458)</f>
        <v>8766</v>
      </c>
    </row>
    <row r="460" spans="1:12" ht="17.25" customHeight="1">
      <c r="A460" s="209"/>
      <c r="B460" s="210"/>
      <c r="C460" s="95"/>
      <c r="D460" s="211"/>
      <c r="E460" s="212">
        <f>E448+1</f>
        <v>90</v>
      </c>
      <c r="F460" s="1017" t="s">
        <v>1864</v>
      </c>
      <c r="G460" s="1017"/>
      <c r="H460" s="1017"/>
      <c r="I460" s="298"/>
      <c r="J460" s="298" t="s">
        <v>1652</v>
      </c>
      <c r="K460" s="298"/>
      <c r="L460" s="300"/>
    </row>
    <row r="461" spans="1:12" ht="17.25" customHeight="1">
      <c r="A461" s="129" t="s">
        <v>930</v>
      </c>
      <c r="B461" s="130" t="s">
        <v>1855</v>
      </c>
      <c r="C461" s="512">
        <v>19.43</v>
      </c>
      <c r="D461" s="1" t="s">
        <v>990</v>
      </c>
      <c r="E461" s="91">
        <f t="shared" ref="E461:E470" si="69">G461+I461+K461</f>
        <v>4460</v>
      </c>
      <c r="F461" s="91">
        <f t="shared" ref="F461:F470" si="70">H461+J461+L461</f>
        <v>86657</v>
      </c>
      <c r="G461" s="27">
        <v>0</v>
      </c>
      <c r="H461" s="27">
        <f>INT(C461*G461)</f>
        <v>0</v>
      </c>
      <c r="I461" s="27">
        <v>4460</v>
      </c>
      <c r="J461" s="91">
        <f>INT(C461*I461)</f>
        <v>86657</v>
      </c>
      <c r="K461" s="27">
        <v>0</v>
      </c>
      <c r="L461" s="27">
        <f>INT(C461*K461)</f>
        <v>0</v>
      </c>
    </row>
    <row r="462" spans="1:12" ht="17.25" customHeight="1">
      <c r="A462" s="129" t="s">
        <v>1850</v>
      </c>
      <c r="B462" s="130" t="s">
        <v>1856</v>
      </c>
      <c r="C462" s="27">
        <v>0</v>
      </c>
      <c r="D462" s="1" t="s">
        <v>990</v>
      </c>
      <c r="E462" s="91">
        <f t="shared" si="69"/>
        <v>6770</v>
      </c>
      <c r="F462" s="91">
        <f t="shared" si="70"/>
        <v>0</v>
      </c>
      <c r="G462" s="27">
        <v>0</v>
      </c>
      <c r="H462" s="27">
        <f t="shared" ref="H462:H470" si="71">INT(C462*G462)</f>
        <v>0</v>
      </c>
      <c r="I462" s="27">
        <v>6770</v>
      </c>
      <c r="J462" s="27">
        <f t="shared" ref="J462:J470" si="72">INT(C462*I462)</f>
        <v>0</v>
      </c>
      <c r="K462" s="27">
        <v>0</v>
      </c>
      <c r="L462" s="27">
        <f t="shared" ref="L462:L470" si="73">INT(C462*K462)</f>
        <v>0</v>
      </c>
    </row>
    <row r="463" spans="1:12" ht="17.25" customHeight="1">
      <c r="A463" s="129" t="s">
        <v>1850</v>
      </c>
      <c r="B463" s="130" t="s">
        <v>1856</v>
      </c>
      <c r="C463" s="27">
        <v>0</v>
      </c>
      <c r="D463" s="1" t="s">
        <v>990</v>
      </c>
      <c r="E463" s="91">
        <f t="shared" si="69"/>
        <v>6770</v>
      </c>
      <c r="F463" s="91">
        <f t="shared" si="70"/>
        <v>0</v>
      </c>
      <c r="G463" s="27">
        <v>0</v>
      </c>
      <c r="H463" s="27">
        <f t="shared" si="71"/>
        <v>0</v>
      </c>
      <c r="I463" s="27">
        <v>6770</v>
      </c>
      <c r="J463" s="27">
        <f t="shared" si="72"/>
        <v>0</v>
      </c>
      <c r="K463" s="27">
        <v>0</v>
      </c>
      <c r="L463" s="27">
        <f t="shared" si="73"/>
        <v>0</v>
      </c>
    </row>
    <row r="464" spans="1:12" ht="17.25" customHeight="1">
      <c r="A464" s="129" t="s">
        <v>1851</v>
      </c>
      <c r="B464" s="130" t="s">
        <v>1857</v>
      </c>
      <c r="C464" s="512">
        <v>0.13500000000000001</v>
      </c>
      <c r="D464" s="1" t="s">
        <v>990</v>
      </c>
      <c r="E464" s="91">
        <f t="shared" si="69"/>
        <v>1584</v>
      </c>
      <c r="F464" s="91">
        <f t="shared" si="70"/>
        <v>213</v>
      </c>
      <c r="G464" s="27">
        <v>0</v>
      </c>
      <c r="H464" s="27">
        <f t="shared" si="71"/>
        <v>0</v>
      </c>
      <c r="I464" s="27">
        <v>1584</v>
      </c>
      <c r="J464" s="91">
        <f t="shared" si="72"/>
        <v>213</v>
      </c>
      <c r="K464" s="27">
        <v>0</v>
      </c>
      <c r="L464" s="27">
        <f t="shared" si="73"/>
        <v>0</v>
      </c>
    </row>
    <row r="465" spans="1:13" ht="17.25" customHeight="1">
      <c r="A465" s="129" t="s">
        <v>1850</v>
      </c>
      <c r="B465" s="130" t="s">
        <v>1858</v>
      </c>
      <c r="C465" s="512">
        <v>0.67200000000000004</v>
      </c>
      <c r="D465" s="1" t="s">
        <v>990</v>
      </c>
      <c r="E465" s="91">
        <f t="shared" si="69"/>
        <v>6770</v>
      </c>
      <c r="F465" s="91">
        <f t="shared" si="70"/>
        <v>4549</v>
      </c>
      <c r="G465" s="27">
        <v>0</v>
      </c>
      <c r="H465" s="27">
        <f t="shared" si="71"/>
        <v>0</v>
      </c>
      <c r="I465" s="27">
        <v>6770</v>
      </c>
      <c r="J465" s="91">
        <f t="shared" si="72"/>
        <v>4549</v>
      </c>
      <c r="K465" s="27">
        <v>0</v>
      </c>
      <c r="L465" s="27">
        <f t="shared" si="73"/>
        <v>0</v>
      </c>
    </row>
    <row r="466" spans="1:13" ht="17.25" customHeight="1">
      <c r="A466" s="129" t="s">
        <v>1852</v>
      </c>
      <c r="B466" s="130" t="s">
        <v>1855</v>
      </c>
      <c r="C466" s="512">
        <v>9.0419999999999998</v>
      </c>
      <c r="D466" s="1" t="s">
        <v>990</v>
      </c>
      <c r="E466" s="91">
        <f t="shared" si="69"/>
        <v>4460</v>
      </c>
      <c r="F466" s="91">
        <f t="shared" si="70"/>
        <v>40327</v>
      </c>
      <c r="G466" s="27">
        <v>0</v>
      </c>
      <c r="H466" s="27">
        <f t="shared" si="71"/>
        <v>0</v>
      </c>
      <c r="I466" s="27">
        <v>4460</v>
      </c>
      <c r="J466" s="91">
        <f t="shared" si="72"/>
        <v>40327</v>
      </c>
      <c r="K466" s="27">
        <v>0</v>
      </c>
      <c r="L466" s="27">
        <f t="shared" si="73"/>
        <v>0</v>
      </c>
    </row>
    <row r="467" spans="1:13" ht="17.25" customHeight="1">
      <c r="A467" s="129" t="s">
        <v>1852</v>
      </c>
      <c r="B467" s="130" t="s">
        <v>1859</v>
      </c>
      <c r="C467" s="512">
        <v>6.78</v>
      </c>
      <c r="D467" s="1" t="s">
        <v>990</v>
      </c>
      <c r="E467" s="91">
        <f t="shared" si="69"/>
        <v>4460</v>
      </c>
      <c r="F467" s="91">
        <f t="shared" si="70"/>
        <v>30238</v>
      </c>
      <c r="G467" s="27">
        <v>0</v>
      </c>
      <c r="H467" s="27">
        <f t="shared" si="71"/>
        <v>0</v>
      </c>
      <c r="I467" s="27">
        <v>4460</v>
      </c>
      <c r="J467" s="91">
        <f t="shared" si="72"/>
        <v>30238</v>
      </c>
      <c r="K467" s="27">
        <v>0</v>
      </c>
      <c r="L467" s="27">
        <f t="shared" si="73"/>
        <v>0</v>
      </c>
    </row>
    <row r="468" spans="1:13" ht="17.25" customHeight="1">
      <c r="A468" s="129" t="s">
        <v>1853</v>
      </c>
      <c r="B468" s="130" t="s">
        <v>1860</v>
      </c>
      <c r="C468" s="512">
        <v>6</v>
      </c>
      <c r="D468" s="1" t="s">
        <v>440</v>
      </c>
      <c r="E468" s="91">
        <f t="shared" si="69"/>
        <v>645</v>
      </c>
      <c r="F468" s="91">
        <f t="shared" si="70"/>
        <v>3870</v>
      </c>
      <c r="G468" s="27">
        <v>0</v>
      </c>
      <c r="H468" s="27">
        <f t="shared" si="71"/>
        <v>0</v>
      </c>
      <c r="I468" s="27">
        <v>645</v>
      </c>
      <c r="J468" s="91">
        <f t="shared" si="72"/>
        <v>3870</v>
      </c>
      <c r="K468" s="27">
        <v>0</v>
      </c>
      <c r="L468" s="27">
        <f t="shared" si="73"/>
        <v>0</v>
      </c>
    </row>
    <row r="469" spans="1:13" ht="17.25" customHeight="1">
      <c r="A469" s="129" t="s">
        <v>1854</v>
      </c>
      <c r="B469" s="130" t="s">
        <v>1861</v>
      </c>
      <c r="C469" s="512">
        <v>2.2919999999999998</v>
      </c>
      <c r="D469" s="1" t="s">
        <v>990</v>
      </c>
      <c r="E469" s="91">
        <f t="shared" si="69"/>
        <v>5560</v>
      </c>
      <c r="F469" s="91">
        <f t="shared" si="70"/>
        <v>12743</v>
      </c>
      <c r="G469" s="27">
        <v>0</v>
      </c>
      <c r="H469" s="27">
        <f t="shared" si="71"/>
        <v>0</v>
      </c>
      <c r="I469" s="27">
        <v>5560</v>
      </c>
      <c r="J469" s="91">
        <f t="shared" si="72"/>
        <v>12743</v>
      </c>
      <c r="K469" s="27">
        <v>0</v>
      </c>
      <c r="L469" s="27">
        <f t="shared" si="73"/>
        <v>0</v>
      </c>
    </row>
    <row r="470" spans="1:13" ht="17.25" customHeight="1">
      <c r="A470" s="129" t="s">
        <v>1862</v>
      </c>
      <c r="B470" s="130"/>
      <c r="C470" s="512">
        <f>SUM(C461:C469)-C468</f>
        <v>38.351000000000006</v>
      </c>
      <c r="D470" s="1" t="s">
        <v>990</v>
      </c>
      <c r="E470" s="91">
        <f t="shared" si="69"/>
        <v>7946</v>
      </c>
      <c r="F470" s="91">
        <f t="shared" si="70"/>
        <v>304735</v>
      </c>
      <c r="G470" s="27">
        <f>G458</f>
        <v>7635</v>
      </c>
      <c r="H470" s="91">
        <f t="shared" si="71"/>
        <v>292809</v>
      </c>
      <c r="I470" s="27">
        <f>I458</f>
        <v>71</v>
      </c>
      <c r="J470" s="91">
        <f t="shared" si="72"/>
        <v>2722</v>
      </c>
      <c r="K470" s="27">
        <f>K458</f>
        <v>240</v>
      </c>
      <c r="L470" s="91">
        <f t="shared" si="73"/>
        <v>9204</v>
      </c>
    </row>
    <row r="471" spans="1:13" ht="17.25" customHeight="1">
      <c r="A471" s="129" t="s">
        <v>617</v>
      </c>
      <c r="B471" s="126"/>
      <c r="C471" s="129"/>
      <c r="D471" s="1"/>
      <c r="E471" s="301"/>
      <c r="F471" s="301">
        <f>H471+J471+L471</f>
        <v>483332</v>
      </c>
      <c r="G471" s="301"/>
      <c r="H471" s="301">
        <f>SUM(H461:H470)</f>
        <v>292809</v>
      </c>
      <c r="I471" s="301"/>
      <c r="J471" s="301">
        <f>SUM(J461:J470)</f>
        <v>181319</v>
      </c>
      <c r="K471" s="301"/>
      <c r="L471" s="301">
        <f>SUM(L461:L470)</f>
        <v>9204</v>
      </c>
    </row>
    <row r="472" spans="1:13" ht="15" customHeight="1">
      <c r="A472" s="209"/>
      <c r="B472" s="210"/>
      <c r="C472" s="95"/>
      <c r="D472" s="211"/>
      <c r="E472" s="212">
        <f>E460+1</f>
        <v>91</v>
      </c>
      <c r="F472" s="297" t="s">
        <v>1871</v>
      </c>
      <c r="G472" s="95"/>
      <c r="H472" s="298"/>
      <c r="I472" s="299"/>
      <c r="J472" s="298" t="s">
        <v>1865</v>
      </c>
      <c r="K472" s="299"/>
      <c r="L472" s="300"/>
    </row>
    <row r="473" spans="1:13" ht="15" customHeight="1">
      <c r="A473" s="129" t="s">
        <v>1866</v>
      </c>
      <c r="B473" s="129" t="s">
        <v>1872</v>
      </c>
      <c r="C473" s="421">
        <v>1</v>
      </c>
      <c r="D473" s="1" t="s">
        <v>1867</v>
      </c>
      <c r="E473" s="91">
        <f>G473+I473+K473</f>
        <v>155000</v>
      </c>
      <c r="F473" s="91">
        <f>H473+J473+L473</f>
        <v>155000</v>
      </c>
      <c r="G473" s="91">
        <v>0</v>
      </c>
      <c r="H473" s="91">
        <f>INT(C473*G473)</f>
        <v>0</v>
      </c>
      <c r="I473" s="91">
        <v>155000</v>
      </c>
      <c r="J473" s="91">
        <f>INT(C473*I473)</f>
        <v>155000</v>
      </c>
      <c r="K473" s="91">
        <v>0</v>
      </c>
      <c r="L473" s="91">
        <f>INT(C473*K473)</f>
        <v>0</v>
      </c>
      <c r="M473" s="10" t="s">
        <v>1870</v>
      </c>
    </row>
    <row r="474" spans="1:13" ht="15" customHeight="1">
      <c r="A474" s="129" t="s">
        <v>1868</v>
      </c>
      <c r="B474" s="129" t="s">
        <v>1869</v>
      </c>
      <c r="C474" s="73">
        <v>0.05</v>
      </c>
      <c r="D474" s="1"/>
      <c r="E474" s="91">
        <f>G474+I474+K474</f>
        <v>155000</v>
      </c>
      <c r="F474" s="91">
        <f>H474+J474+L474</f>
        <v>7750</v>
      </c>
      <c r="G474" s="91">
        <f>J473</f>
        <v>155000</v>
      </c>
      <c r="H474" s="91">
        <f>INT(C474*G474)</f>
        <v>7750</v>
      </c>
      <c r="I474" s="91"/>
      <c r="J474" s="91">
        <f>INT(C474*I474)</f>
        <v>0</v>
      </c>
      <c r="K474" s="91"/>
      <c r="L474" s="91">
        <f>INT(C474*K474)</f>
        <v>0</v>
      </c>
    </row>
    <row r="475" spans="1:13" ht="15" customHeight="1">
      <c r="A475" s="129" t="s">
        <v>617</v>
      </c>
      <c r="B475" s="126"/>
      <c r="C475" s="129"/>
      <c r="D475" s="1"/>
      <c r="E475" s="301"/>
      <c r="F475" s="301">
        <f>H475+J475+L475</f>
        <v>162750</v>
      </c>
      <c r="G475" s="301"/>
      <c r="H475" s="301">
        <f>SUM(H473:H474)</f>
        <v>7750</v>
      </c>
      <c r="I475" s="301"/>
      <c r="J475" s="301">
        <f>SUM(J473:J474)</f>
        <v>155000</v>
      </c>
      <c r="K475" s="301"/>
      <c r="L475" s="301">
        <f>SUM(L473:L474)</f>
        <v>0</v>
      </c>
    </row>
    <row r="476" spans="1:13" ht="15" customHeight="1">
      <c r="A476" s="209"/>
      <c r="B476" s="210"/>
      <c r="C476" s="95"/>
      <c r="D476" s="211"/>
      <c r="E476" s="212">
        <f>E472+1</f>
        <v>92</v>
      </c>
      <c r="F476" s="297" t="s">
        <v>2108</v>
      </c>
      <c r="G476" s="95"/>
      <c r="H476" s="298"/>
      <c r="I476" s="299"/>
      <c r="J476" s="298" t="s">
        <v>1929</v>
      </c>
      <c r="K476" s="299"/>
      <c r="L476" s="300"/>
    </row>
    <row r="477" spans="1:13" ht="15" customHeight="1">
      <c r="A477" s="129" t="s">
        <v>2107</v>
      </c>
      <c r="B477" s="129"/>
      <c r="C477" s="421">
        <v>1</v>
      </c>
      <c r="D477" s="1" t="s">
        <v>1930</v>
      </c>
      <c r="E477" s="91">
        <f t="shared" ref="E477:F480" si="74">G477+I477+K477</f>
        <v>51445</v>
      </c>
      <c r="F477" s="91">
        <f t="shared" si="74"/>
        <v>51445</v>
      </c>
      <c r="G477" s="91">
        <f>자재일람!F10</f>
        <v>36588</v>
      </c>
      <c r="H477" s="91">
        <f>INT(C477*G477)</f>
        <v>36588</v>
      </c>
      <c r="I477" s="91">
        <f>자재일람!G10</f>
        <v>12635</v>
      </c>
      <c r="J477" s="91">
        <f>INT(C477*I477)</f>
        <v>12635</v>
      </c>
      <c r="K477" s="91">
        <f>자재일람!H10</f>
        <v>2222</v>
      </c>
      <c r="L477" s="91">
        <f>INT(C477*K477)</f>
        <v>2222</v>
      </c>
    </row>
    <row r="478" spans="1:13" ht="15" customHeight="1">
      <c r="A478" s="129" t="s">
        <v>1931</v>
      </c>
      <c r="B478" s="129"/>
      <c r="C478" s="421">
        <v>1.9E-2</v>
      </c>
      <c r="D478" s="1" t="s">
        <v>1932</v>
      </c>
      <c r="E478" s="91">
        <f t="shared" si="74"/>
        <v>172068</v>
      </c>
      <c r="F478" s="91">
        <f t="shared" si="74"/>
        <v>3269</v>
      </c>
      <c r="G478" s="91">
        <f>G445</f>
        <v>172068</v>
      </c>
      <c r="H478" s="91">
        <f>INT(C478*G478)</f>
        <v>3269</v>
      </c>
      <c r="I478" s="91">
        <f>I445</f>
        <v>0</v>
      </c>
      <c r="J478" s="91">
        <f>INT(C478*I478)</f>
        <v>0</v>
      </c>
      <c r="K478" s="91">
        <f>K445</f>
        <v>0</v>
      </c>
      <c r="L478" s="91"/>
    </row>
    <row r="479" spans="1:13" ht="15" customHeight="1">
      <c r="A479" s="129" t="s">
        <v>1933</v>
      </c>
      <c r="B479" s="129" t="s">
        <v>1934</v>
      </c>
      <c r="C479" s="73">
        <v>7.5999999999999998E-2</v>
      </c>
      <c r="D479" s="1" t="s">
        <v>1935</v>
      </c>
      <c r="E479" s="91">
        <f t="shared" si="74"/>
        <v>78833</v>
      </c>
      <c r="F479" s="91">
        <f t="shared" si="74"/>
        <v>5989</v>
      </c>
      <c r="G479" s="91">
        <f>중기일람!D9</f>
        <v>57077</v>
      </c>
      <c r="H479" s="91">
        <f>INT(C479*G479)</f>
        <v>4337</v>
      </c>
      <c r="I479" s="91">
        <f>중기일람!E9</f>
        <v>9246</v>
      </c>
      <c r="J479" s="91">
        <f>INT(C479*I479)</f>
        <v>702</v>
      </c>
      <c r="K479" s="91">
        <f>중기일람!F9</f>
        <v>12510</v>
      </c>
      <c r="L479" s="91">
        <f>INT(C479*K479)</f>
        <v>950</v>
      </c>
    </row>
    <row r="480" spans="1:13" ht="15" customHeight="1">
      <c r="A480" s="129" t="s">
        <v>1936</v>
      </c>
      <c r="B480" s="129" t="s">
        <v>1937</v>
      </c>
      <c r="C480" s="73">
        <v>0.115</v>
      </c>
      <c r="D480" s="1" t="s">
        <v>1935</v>
      </c>
      <c r="E480" s="91">
        <f t="shared" si="74"/>
        <v>38171</v>
      </c>
      <c r="F480" s="91">
        <f t="shared" si="74"/>
        <v>4387</v>
      </c>
      <c r="G480" s="91">
        <f>중기일람!D22</f>
        <v>35608</v>
      </c>
      <c r="H480" s="91">
        <f>INT(C480*G480)</f>
        <v>4094</v>
      </c>
      <c r="I480" s="91">
        <f>중기일람!E22</f>
        <v>2034</v>
      </c>
      <c r="J480" s="91">
        <f>INT(C480*I480)</f>
        <v>233</v>
      </c>
      <c r="K480" s="91">
        <f>중기일람!F22</f>
        <v>529</v>
      </c>
      <c r="L480" s="91">
        <f>INT(C480*K480)</f>
        <v>60</v>
      </c>
    </row>
    <row r="481" spans="1:12" ht="15" customHeight="1">
      <c r="A481" s="129" t="s">
        <v>617</v>
      </c>
      <c r="B481" s="126"/>
      <c r="C481" s="129"/>
      <c r="D481" s="1"/>
      <c r="E481" s="301"/>
      <c r="F481" s="301">
        <f>H481+J481+L481</f>
        <v>65090</v>
      </c>
      <c r="G481" s="301"/>
      <c r="H481" s="301">
        <f>SUM(H477:H480)</f>
        <v>48288</v>
      </c>
      <c r="I481" s="301"/>
      <c r="J481" s="301">
        <f>SUM(J477:J480)</f>
        <v>13570</v>
      </c>
      <c r="K481" s="301"/>
      <c r="L481" s="301">
        <f>SUM(L477:L480)</f>
        <v>3232</v>
      </c>
    </row>
    <row r="482" spans="1:12" ht="15" customHeight="1">
      <c r="A482" s="209"/>
      <c r="B482" s="210"/>
      <c r="C482" s="95"/>
      <c r="D482" s="211"/>
      <c r="E482" s="212">
        <f>E476+1</f>
        <v>93</v>
      </c>
      <c r="F482" s="297" t="s">
        <v>1950</v>
      </c>
      <c r="G482" s="95"/>
      <c r="H482" s="298"/>
      <c r="I482" s="299"/>
      <c r="J482" s="298" t="s">
        <v>1939</v>
      </c>
      <c r="K482" s="299"/>
      <c r="L482" s="300"/>
    </row>
    <row r="483" spans="1:12" ht="15" customHeight="1">
      <c r="A483" s="129" t="s">
        <v>1952</v>
      </c>
      <c r="B483" s="129" t="s">
        <v>1553</v>
      </c>
      <c r="C483" s="421">
        <v>1</v>
      </c>
      <c r="D483" s="1" t="s">
        <v>1940</v>
      </c>
      <c r="E483" s="91">
        <f t="shared" ref="E483:F485" si="75">G483+I483+K483</f>
        <v>6200</v>
      </c>
      <c r="F483" s="91">
        <f t="shared" si="75"/>
        <v>6200</v>
      </c>
      <c r="G483" s="91">
        <v>0</v>
      </c>
      <c r="H483" s="91">
        <f>INT(C483*G483)</f>
        <v>0</v>
      </c>
      <c r="I483" s="91">
        <f>자재!F263</f>
        <v>6200</v>
      </c>
      <c r="J483" s="91">
        <f>INT(C483*I483)</f>
        <v>6200</v>
      </c>
      <c r="K483" s="91">
        <v>0</v>
      </c>
      <c r="L483" s="91">
        <f>INT(C483*K483)</f>
        <v>0</v>
      </c>
    </row>
    <row r="484" spans="1:12" ht="15" customHeight="1">
      <c r="A484" s="129" t="s">
        <v>1941</v>
      </c>
      <c r="B484" s="129" t="s">
        <v>1942</v>
      </c>
      <c r="C484" s="73">
        <v>1.2999999999999999E-2</v>
      </c>
      <c r="D484" s="1" t="s">
        <v>1943</v>
      </c>
      <c r="E484" s="91">
        <f t="shared" si="75"/>
        <v>238145</v>
      </c>
      <c r="F484" s="91">
        <f t="shared" si="75"/>
        <v>3095</v>
      </c>
      <c r="G484" s="91">
        <f>노임!D4</f>
        <v>238145</v>
      </c>
      <c r="H484" s="91">
        <f>INT(C484*G484)</f>
        <v>3095</v>
      </c>
      <c r="I484" s="91"/>
      <c r="J484" s="91">
        <f>INT(C484*I484)</f>
        <v>0</v>
      </c>
      <c r="K484" s="91"/>
      <c r="L484" s="91">
        <f>INT(C484*K484)</f>
        <v>0</v>
      </c>
    </row>
    <row r="485" spans="1:12" ht="15" customHeight="1">
      <c r="A485" s="129" t="s">
        <v>1944</v>
      </c>
      <c r="B485" s="129" t="s">
        <v>1945</v>
      </c>
      <c r="C485" s="73">
        <v>2.3E-2</v>
      </c>
      <c r="D485" s="1" t="s">
        <v>1943</v>
      </c>
      <c r="E485" s="91">
        <f t="shared" si="75"/>
        <v>172068</v>
      </c>
      <c r="F485" s="91">
        <f t="shared" si="75"/>
        <v>3957</v>
      </c>
      <c r="G485" s="91">
        <f>G478</f>
        <v>172068</v>
      </c>
      <c r="H485" s="91">
        <f>INT(C485*G485)</f>
        <v>3957</v>
      </c>
      <c r="I485" s="91"/>
      <c r="J485" s="91">
        <f>INT(C485*I485)</f>
        <v>0</v>
      </c>
      <c r="K485" s="91"/>
      <c r="L485" s="91">
        <f>INT(C485*K485)</f>
        <v>0</v>
      </c>
    </row>
    <row r="486" spans="1:12" ht="15" customHeight="1">
      <c r="A486" s="129" t="s">
        <v>1946</v>
      </c>
      <c r="B486" s="129" t="s">
        <v>1947</v>
      </c>
      <c r="C486" s="73">
        <v>1.6</v>
      </c>
      <c r="D486" s="1" t="s">
        <v>1948</v>
      </c>
      <c r="E486" s="91">
        <f>G486+I486+K486</f>
        <v>0</v>
      </c>
      <c r="F486" s="91">
        <f>H486+J486+L486</f>
        <v>0</v>
      </c>
      <c r="G486" s="91">
        <v>0</v>
      </c>
      <c r="H486" s="91">
        <f>INT(C486*G486)</f>
        <v>0</v>
      </c>
      <c r="I486" s="91"/>
      <c r="J486" s="91">
        <f>INT(C486*I486)</f>
        <v>0</v>
      </c>
      <c r="K486" s="91"/>
      <c r="L486" s="91"/>
    </row>
    <row r="487" spans="1:12" ht="15" customHeight="1">
      <c r="A487" s="129" t="s">
        <v>1949</v>
      </c>
      <c r="B487" s="129" t="s">
        <v>1944</v>
      </c>
      <c r="C487" s="73">
        <v>3.0000000000000001E-3</v>
      </c>
      <c r="D487" s="1" t="s">
        <v>1943</v>
      </c>
      <c r="E487" s="91">
        <f>G487+I487+K487</f>
        <v>0</v>
      </c>
      <c r="F487" s="91">
        <f>H487+J487+L487</f>
        <v>0</v>
      </c>
      <c r="G487" s="91"/>
      <c r="H487" s="91">
        <f>INT(C487*G487)</f>
        <v>0</v>
      </c>
      <c r="I487" s="91"/>
      <c r="J487" s="91"/>
      <c r="K487" s="91"/>
      <c r="L487" s="91"/>
    </row>
    <row r="488" spans="1:12" ht="15" customHeight="1">
      <c r="A488" s="129" t="s">
        <v>617</v>
      </c>
      <c r="B488" s="126"/>
      <c r="C488" s="129"/>
      <c r="D488" s="1"/>
      <c r="E488" s="301"/>
      <c r="F488" s="301">
        <f>H488+J488+L488</f>
        <v>13252</v>
      </c>
      <c r="G488" s="301"/>
      <c r="H488" s="301">
        <f>SUM(H483:H487)</f>
        <v>7052</v>
      </c>
      <c r="I488" s="301"/>
      <c r="J488" s="301">
        <f>SUM(J483:J487)</f>
        <v>6200</v>
      </c>
      <c r="K488" s="301"/>
      <c r="L488" s="301">
        <f>SUM(L483:L487)</f>
        <v>0</v>
      </c>
    </row>
    <row r="489" spans="1:12" ht="15" customHeight="1">
      <c r="A489" s="209"/>
      <c r="B489" s="210"/>
      <c r="C489" s="95"/>
      <c r="D489" s="211"/>
      <c r="E489" s="212">
        <f>E482+1</f>
        <v>94</v>
      </c>
      <c r="F489" s="297" t="s">
        <v>1987</v>
      </c>
      <c r="G489" s="95"/>
      <c r="H489" s="298"/>
      <c r="I489" s="299"/>
      <c r="J489" s="298" t="s">
        <v>1986</v>
      </c>
      <c r="K489" s="299"/>
      <c r="L489" s="300"/>
    </row>
    <row r="490" spans="1:12" ht="15" customHeight="1">
      <c r="A490" s="129" t="s">
        <v>1981</v>
      </c>
      <c r="B490" s="129" t="s">
        <v>1988</v>
      </c>
      <c r="C490" s="421">
        <v>1</v>
      </c>
      <c r="D490" s="1" t="s">
        <v>440</v>
      </c>
      <c r="E490" s="91">
        <f>G490+I490+K490</f>
        <v>333000</v>
      </c>
      <c r="F490" s="91">
        <f>H490+J490+L490</f>
        <v>333000</v>
      </c>
      <c r="G490" s="91">
        <v>0</v>
      </c>
      <c r="H490" s="91">
        <f>INT(C490*G490)</f>
        <v>0</v>
      </c>
      <c r="I490" s="91">
        <f>자재!F111</f>
        <v>333000</v>
      </c>
      <c r="J490" s="91">
        <f>INT(C490*I490)</f>
        <v>333000</v>
      </c>
      <c r="K490" s="91">
        <v>0</v>
      </c>
      <c r="L490" s="91">
        <f>INT(C490*K490)</f>
        <v>0</v>
      </c>
    </row>
    <row r="491" spans="1:12" ht="15" customHeight="1">
      <c r="A491" s="129" t="s">
        <v>356</v>
      </c>
      <c r="B491" s="129" t="s">
        <v>434</v>
      </c>
      <c r="C491" s="73">
        <v>0.05</v>
      </c>
      <c r="D491" s="1"/>
      <c r="E491" s="91">
        <f>G491+I491+K491</f>
        <v>333000</v>
      </c>
      <c r="F491" s="91">
        <f>H491+J491+L491</f>
        <v>16650</v>
      </c>
      <c r="G491" s="91">
        <f>J490</f>
        <v>333000</v>
      </c>
      <c r="H491" s="91">
        <f>INT(C491*G491)</f>
        <v>16650</v>
      </c>
      <c r="I491" s="91"/>
      <c r="J491" s="91">
        <f>INT(C491*I491)</f>
        <v>0</v>
      </c>
      <c r="K491" s="91"/>
      <c r="L491" s="91">
        <f>INT(C491*K491)</f>
        <v>0</v>
      </c>
    </row>
    <row r="492" spans="1:12" ht="15" customHeight="1">
      <c r="A492" s="129" t="s">
        <v>617</v>
      </c>
      <c r="B492" s="126"/>
      <c r="C492" s="129"/>
      <c r="D492" s="1"/>
      <c r="E492" s="301"/>
      <c r="F492" s="301">
        <f>H492+J492+L492</f>
        <v>349650</v>
      </c>
      <c r="G492" s="301"/>
      <c r="H492" s="301">
        <f>SUM(H490:H491)</f>
        <v>16650</v>
      </c>
      <c r="I492" s="301"/>
      <c r="J492" s="301">
        <f>SUM(J490:J491)</f>
        <v>333000</v>
      </c>
      <c r="K492" s="301"/>
      <c r="L492" s="301">
        <f>SUM(L490:L491)</f>
        <v>0</v>
      </c>
    </row>
    <row r="493" spans="1:12" ht="15" customHeight="1">
      <c r="A493" s="209"/>
      <c r="B493" s="210"/>
      <c r="C493" s="95"/>
      <c r="D493" s="211"/>
      <c r="E493" s="212">
        <f>E489+1</f>
        <v>95</v>
      </c>
      <c r="F493" s="297" t="s">
        <v>1989</v>
      </c>
      <c r="G493" s="95"/>
      <c r="H493" s="298"/>
      <c r="I493" s="299"/>
      <c r="J493" s="298" t="s">
        <v>1986</v>
      </c>
      <c r="K493" s="299"/>
      <c r="L493" s="300"/>
    </row>
    <row r="494" spans="1:12" ht="15" customHeight="1">
      <c r="A494" s="129" t="s">
        <v>1981</v>
      </c>
      <c r="B494" s="129" t="s">
        <v>1990</v>
      </c>
      <c r="C494" s="421">
        <v>1</v>
      </c>
      <c r="D494" s="1" t="s">
        <v>440</v>
      </c>
      <c r="E494" s="91">
        <f>G494+I494+K494</f>
        <v>1034000</v>
      </c>
      <c r="F494" s="91">
        <f>H494+J494+L494</f>
        <v>1034000</v>
      </c>
      <c r="G494" s="91">
        <v>0</v>
      </c>
      <c r="H494" s="91">
        <f>INT(C494*G494)</f>
        <v>0</v>
      </c>
      <c r="I494" s="91">
        <f>자재!F112</f>
        <v>1034000</v>
      </c>
      <c r="J494" s="91">
        <f>INT(C494*I494)</f>
        <v>1034000</v>
      </c>
      <c r="K494" s="91">
        <v>0</v>
      </c>
      <c r="L494" s="91">
        <f>INT(C494*K494)</f>
        <v>0</v>
      </c>
    </row>
    <row r="495" spans="1:12" ht="15" customHeight="1">
      <c r="A495" s="129" t="s">
        <v>356</v>
      </c>
      <c r="B495" s="129" t="s">
        <v>434</v>
      </c>
      <c r="C495" s="73">
        <v>0.05</v>
      </c>
      <c r="D495" s="1"/>
      <c r="E495" s="91">
        <f>G495+I495+K495</f>
        <v>1034000</v>
      </c>
      <c r="F495" s="91">
        <f>H495+J495+L495</f>
        <v>51700</v>
      </c>
      <c r="G495" s="91">
        <f>J494</f>
        <v>1034000</v>
      </c>
      <c r="H495" s="91">
        <f>INT(C495*G495)</f>
        <v>51700</v>
      </c>
      <c r="I495" s="91"/>
      <c r="J495" s="91">
        <f>INT(C495*I495)</f>
        <v>0</v>
      </c>
      <c r="K495" s="91"/>
      <c r="L495" s="91">
        <f>INT(C495*K495)</f>
        <v>0</v>
      </c>
    </row>
    <row r="496" spans="1:12" ht="15" customHeight="1">
      <c r="A496" s="129" t="s">
        <v>617</v>
      </c>
      <c r="B496" s="126"/>
      <c r="C496" s="129"/>
      <c r="D496" s="1"/>
      <c r="E496" s="301"/>
      <c r="F496" s="301">
        <f>H496+J496+L496</f>
        <v>1085700</v>
      </c>
      <c r="G496" s="301"/>
      <c r="H496" s="301">
        <f>SUM(H494:H495)</f>
        <v>51700</v>
      </c>
      <c r="I496" s="301"/>
      <c r="J496" s="301">
        <f>SUM(J494:J495)</f>
        <v>1034000</v>
      </c>
      <c r="K496" s="301"/>
      <c r="L496" s="301">
        <f>SUM(L494:L495)</f>
        <v>0</v>
      </c>
    </row>
    <row r="497" spans="1:12" ht="15" customHeight="1">
      <c r="A497" s="209"/>
      <c r="B497" s="210"/>
      <c r="C497" s="95"/>
      <c r="D497" s="211"/>
      <c r="E497" s="212">
        <f>E493+1</f>
        <v>96</v>
      </c>
      <c r="F497" s="297" t="s">
        <v>1993</v>
      </c>
      <c r="G497" s="95"/>
      <c r="H497" s="298"/>
      <c r="I497" s="299"/>
      <c r="J497" s="298" t="s">
        <v>1986</v>
      </c>
      <c r="K497" s="299"/>
      <c r="L497" s="300"/>
    </row>
    <row r="498" spans="1:12" ht="15" customHeight="1">
      <c r="A498" s="129" t="s">
        <v>1900</v>
      </c>
      <c r="B498" s="129" t="s">
        <v>1994</v>
      </c>
      <c r="C498" s="421">
        <v>1</v>
      </c>
      <c r="D498" s="1" t="s">
        <v>440</v>
      </c>
      <c r="E498" s="91">
        <f>G498+I498+K498</f>
        <v>90000</v>
      </c>
      <c r="F498" s="91">
        <f>H498+J498+L498</f>
        <v>90000</v>
      </c>
      <c r="G498" s="91">
        <v>0</v>
      </c>
      <c r="H498" s="91">
        <f>INT(C498*G498)</f>
        <v>0</v>
      </c>
      <c r="I498" s="91">
        <f>자재!F265</f>
        <v>90000</v>
      </c>
      <c r="J498" s="91">
        <f>INT(C498*I498)</f>
        <v>90000</v>
      </c>
      <c r="K498" s="91">
        <v>0</v>
      </c>
      <c r="L498" s="91">
        <f>INT(C498*K498)</f>
        <v>0</v>
      </c>
    </row>
    <row r="499" spans="1:12" ht="15" customHeight="1">
      <c r="A499" s="129" t="s">
        <v>356</v>
      </c>
      <c r="B499" s="129" t="s">
        <v>434</v>
      </c>
      <c r="C499" s="73">
        <v>0.05</v>
      </c>
      <c r="D499" s="1"/>
      <c r="E499" s="91">
        <f>G499+I499+K499</f>
        <v>90000</v>
      </c>
      <c r="F499" s="91">
        <f>H499+J499+L499</f>
        <v>4500</v>
      </c>
      <c r="G499" s="91">
        <f>J498</f>
        <v>90000</v>
      </c>
      <c r="H499" s="91">
        <f>INT(C499*G499)</f>
        <v>4500</v>
      </c>
      <c r="I499" s="91"/>
      <c r="J499" s="91">
        <f>INT(C499*I499)</f>
        <v>0</v>
      </c>
      <c r="K499" s="91"/>
      <c r="L499" s="91">
        <f>INT(C499*K499)</f>
        <v>0</v>
      </c>
    </row>
    <row r="500" spans="1:12" ht="15" customHeight="1">
      <c r="A500" s="129" t="s">
        <v>617</v>
      </c>
      <c r="B500" s="126"/>
      <c r="C500" s="129"/>
      <c r="D500" s="1"/>
      <c r="E500" s="301"/>
      <c r="F500" s="301">
        <f>H500+J500+L500</f>
        <v>94500</v>
      </c>
      <c r="G500" s="301"/>
      <c r="H500" s="301">
        <f>SUM(H498:H499)</f>
        <v>4500</v>
      </c>
      <c r="I500" s="301"/>
      <c r="J500" s="301">
        <f>SUM(J498:J499)</f>
        <v>90000</v>
      </c>
      <c r="K500" s="301"/>
      <c r="L500" s="301">
        <f>SUM(L498:L499)</f>
        <v>0</v>
      </c>
    </row>
    <row r="501" spans="1:12" ht="15" customHeight="1">
      <c r="A501" s="209"/>
      <c r="B501" s="210"/>
      <c r="C501" s="95"/>
      <c r="D501" s="211"/>
      <c r="E501" s="212">
        <f>E497+1</f>
        <v>97</v>
      </c>
      <c r="F501" s="297" t="s">
        <v>2026</v>
      </c>
      <c r="G501" s="95"/>
      <c r="H501" s="298"/>
      <c r="I501" s="299"/>
      <c r="J501" s="298" t="s">
        <v>478</v>
      </c>
      <c r="K501" s="299"/>
      <c r="L501" s="300"/>
    </row>
    <row r="502" spans="1:12" ht="15" customHeight="1">
      <c r="A502" s="129" t="s">
        <v>2027</v>
      </c>
      <c r="B502" s="129" t="s">
        <v>2031</v>
      </c>
      <c r="C502" s="421"/>
      <c r="D502" s="1" t="s">
        <v>55</v>
      </c>
      <c r="E502" s="91">
        <f t="shared" ref="E502:F505" si="76">G502+I502+K502</f>
        <v>1580</v>
      </c>
      <c r="F502" s="91">
        <f t="shared" si="76"/>
        <v>0</v>
      </c>
      <c r="G502" s="91">
        <f>중기단위당!H26</f>
        <v>756</v>
      </c>
      <c r="H502" s="91">
        <f>INT(C502*G502)</f>
        <v>0</v>
      </c>
      <c r="I502" s="91">
        <f>중기단위당!I26</f>
        <v>482</v>
      </c>
      <c r="J502" s="91">
        <f>INT(C502*I502)</f>
        <v>0</v>
      </c>
      <c r="K502" s="91">
        <f>중기단위당!J26</f>
        <v>342</v>
      </c>
      <c r="L502" s="91">
        <f>INT(C502*K502)</f>
        <v>0</v>
      </c>
    </row>
    <row r="503" spans="1:12" ht="15" customHeight="1">
      <c r="A503" s="129" t="s">
        <v>414</v>
      </c>
      <c r="B503" s="129" t="s">
        <v>2032</v>
      </c>
      <c r="C503" s="73">
        <v>1</v>
      </c>
      <c r="D503" s="1" t="s">
        <v>55</v>
      </c>
      <c r="E503" s="91">
        <f t="shared" si="76"/>
        <v>12808</v>
      </c>
      <c r="F503" s="91">
        <f t="shared" si="76"/>
        <v>12808</v>
      </c>
      <c r="G503" s="91">
        <f>중기단위당!H27</f>
        <v>5794</v>
      </c>
      <c r="H503" s="91">
        <f>INT(C503*G503)</f>
        <v>5794</v>
      </c>
      <c r="I503" s="91">
        <f>중기단위당!I27</f>
        <v>4023</v>
      </c>
      <c r="J503" s="91">
        <f>INT(C503*I503)</f>
        <v>4023</v>
      </c>
      <c r="K503" s="91">
        <f>중기단위당!J27</f>
        <v>2991</v>
      </c>
      <c r="L503" s="91">
        <f>INT(C503*K503)</f>
        <v>2991</v>
      </c>
    </row>
    <row r="504" spans="1:12" ht="15" customHeight="1">
      <c r="A504" s="129" t="s">
        <v>1737</v>
      </c>
      <c r="B504" s="129"/>
      <c r="C504" s="73">
        <v>1</v>
      </c>
      <c r="D504" s="1" t="s">
        <v>55</v>
      </c>
      <c r="E504" s="91">
        <f t="shared" si="76"/>
        <v>25989</v>
      </c>
      <c r="F504" s="91">
        <f t="shared" si="76"/>
        <v>25989</v>
      </c>
      <c r="G504" s="91">
        <f>G497</f>
        <v>0</v>
      </c>
      <c r="H504" s="91">
        <f>INT(C504*G504)</f>
        <v>0</v>
      </c>
      <c r="I504" s="91"/>
      <c r="J504" s="91">
        <f>INT(C504*I504)</f>
        <v>0</v>
      </c>
      <c r="K504" s="91">
        <f>자재!F266</f>
        <v>25989</v>
      </c>
      <c r="L504" s="91">
        <f>INT(C504*K504)</f>
        <v>25989</v>
      </c>
    </row>
    <row r="505" spans="1:12" ht="15" customHeight="1">
      <c r="A505" s="129" t="s">
        <v>2028</v>
      </c>
      <c r="B505" s="129" t="s">
        <v>2029</v>
      </c>
      <c r="C505" s="73">
        <v>18.309999999999999</v>
      </c>
      <c r="D505" s="1" t="s">
        <v>990</v>
      </c>
      <c r="E505" s="91">
        <f t="shared" si="76"/>
        <v>-430</v>
      </c>
      <c r="F505" s="91">
        <f t="shared" si="76"/>
        <v>-7874</v>
      </c>
      <c r="G505" s="91">
        <v>0</v>
      </c>
      <c r="H505" s="91">
        <f>INT(C505*G505)</f>
        <v>0</v>
      </c>
      <c r="I505" s="91">
        <f>자재!F143</f>
        <v>-430</v>
      </c>
      <c r="J505" s="91">
        <f>INT(C505*I505)</f>
        <v>-7874</v>
      </c>
      <c r="K505" s="91"/>
      <c r="L505" s="91"/>
    </row>
    <row r="506" spans="1:12" ht="15" customHeight="1">
      <c r="A506" s="129" t="s">
        <v>617</v>
      </c>
      <c r="B506" s="126"/>
      <c r="C506" s="129"/>
      <c r="D506" s="1"/>
      <c r="E506" s="301"/>
      <c r="F506" s="301">
        <f>H506+J506+L506</f>
        <v>30923</v>
      </c>
      <c r="G506" s="301"/>
      <c r="H506" s="301">
        <f>SUM(H502:H505)</f>
        <v>5794</v>
      </c>
      <c r="I506" s="301"/>
      <c r="J506" s="301">
        <f>SUM(J502:J505)</f>
        <v>-3851</v>
      </c>
      <c r="K506" s="301"/>
      <c r="L506" s="301">
        <f>SUM(L502:L505)</f>
        <v>28980</v>
      </c>
    </row>
    <row r="507" spans="1:12" ht="15" customHeight="1">
      <c r="A507" s="209"/>
      <c r="B507" s="210"/>
      <c r="C507" s="95"/>
      <c r="D507" s="211"/>
      <c r="E507" s="212">
        <f>E501+1</f>
        <v>98</v>
      </c>
      <c r="F507" s="297" t="s">
        <v>2033</v>
      </c>
      <c r="G507" s="95"/>
      <c r="H507" s="298"/>
      <c r="I507" s="299"/>
      <c r="J507" s="298" t="s">
        <v>478</v>
      </c>
      <c r="K507" s="299"/>
      <c r="L507" s="300"/>
    </row>
    <row r="508" spans="1:12" ht="15" customHeight="1">
      <c r="A508" s="129" t="s">
        <v>2027</v>
      </c>
      <c r="B508" s="129" t="s">
        <v>2031</v>
      </c>
      <c r="C508" s="421">
        <v>1</v>
      </c>
      <c r="D508" s="1" t="s">
        <v>55</v>
      </c>
      <c r="E508" s="91">
        <f>G508+I508+K508</f>
        <v>1580</v>
      </c>
      <c r="F508" s="91">
        <f>H508+J508+L508</f>
        <v>1580</v>
      </c>
      <c r="G508" s="91">
        <f>G502</f>
        <v>756</v>
      </c>
      <c r="H508" s="91">
        <f>INT(C508*G508)</f>
        <v>756</v>
      </c>
      <c r="I508" s="91">
        <f>I502</f>
        <v>482</v>
      </c>
      <c r="J508" s="91">
        <f>INT(C508*I508)</f>
        <v>482</v>
      </c>
      <c r="K508" s="91">
        <f>K502</f>
        <v>342</v>
      </c>
      <c r="L508" s="91">
        <f>INT(C508*K508)</f>
        <v>342</v>
      </c>
    </row>
    <row r="509" spans="1:12" ht="15" customHeight="1">
      <c r="A509" s="129" t="s">
        <v>617</v>
      </c>
      <c r="B509" s="126"/>
      <c r="C509" s="129"/>
      <c r="D509" s="1"/>
      <c r="E509" s="301"/>
      <c r="F509" s="301">
        <f>H509+J509+L509</f>
        <v>1580</v>
      </c>
      <c r="G509" s="301"/>
      <c r="H509" s="301">
        <f>SUM(H508:H508)</f>
        <v>756</v>
      </c>
      <c r="I509" s="301"/>
      <c r="J509" s="301">
        <f>SUM(J508:J508)</f>
        <v>482</v>
      </c>
      <c r="K509" s="301"/>
      <c r="L509" s="301">
        <f>SUM(L508:L508)</f>
        <v>342</v>
      </c>
    </row>
    <row r="510" spans="1:12" ht="15" customHeight="1">
      <c r="A510" s="209"/>
      <c r="B510" s="210"/>
      <c r="C510" s="95"/>
      <c r="D510" s="211"/>
      <c r="E510" s="212">
        <f>E507+1</f>
        <v>99</v>
      </c>
      <c r="F510" s="297" t="s">
        <v>2030</v>
      </c>
      <c r="G510" s="95"/>
      <c r="H510" s="298"/>
      <c r="I510" s="299"/>
      <c r="J510" s="298" t="s">
        <v>478</v>
      </c>
      <c r="K510" s="299"/>
      <c r="L510" s="300"/>
    </row>
    <row r="511" spans="1:12" ht="15" customHeight="1">
      <c r="A511" s="129" t="s">
        <v>2027</v>
      </c>
      <c r="B511" s="129" t="s">
        <v>2031</v>
      </c>
      <c r="C511" s="421"/>
      <c r="D511" s="1" t="s">
        <v>55</v>
      </c>
      <c r="E511" s="91">
        <f t="shared" ref="E511:F514" si="77">G511+I511+K511</f>
        <v>1649</v>
      </c>
      <c r="F511" s="91">
        <f t="shared" si="77"/>
        <v>0</v>
      </c>
      <c r="G511" s="91">
        <f>중기단위당!H28</f>
        <v>789</v>
      </c>
      <c r="H511" s="91">
        <f>INT(C511*G511)</f>
        <v>0</v>
      </c>
      <c r="I511" s="91">
        <f>중기단위당!I28</f>
        <v>503</v>
      </c>
      <c r="J511" s="91">
        <f>INT(C511*I511)</f>
        <v>0</v>
      </c>
      <c r="K511" s="91">
        <f>중기단위당!J28</f>
        <v>357</v>
      </c>
      <c r="L511" s="91">
        <f>INT(C511*K511)</f>
        <v>0</v>
      </c>
    </row>
    <row r="512" spans="1:12" ht="15" customHeight="1">
      <c r="A512" s="129" t="s">
        <v>414</v>
      </c>
      <c r="B512" s="129" t="s">
        <v>2032</v>
      </c>
      <c r="C512" s="73">
        <v>1</v>
      </c>
      <c r="D512" s="1" t="s">
        <v>55</v>
      </c>
      <c r="E512" s="91">
        <f t="shared" si="77"/>
        <v>12862</v>
      </c>
      <c r="F512" s="91">
        <f t="shared" si="77"/>
        <v>12862</v>
      </c>
      <c r="G512" s="91">
        <f>중기단위당!H29</f>
        <v>5830</v>
      </c>
      <c r="H512" s="91">
        <f>INT(C512*G512)</f>
        <v>5830</v>
      </c>
      <c r="I512" s="91">
        <f>중기단위당!I29</f>
        <v>4023</v>
      </c>
      <c r="J512" s="91">
        <f>INT(C512*I512)</f>
        <v>4023</v>
      </c>
      <c r="K512" s="91">
        <f>중기단위당!J29</f>
        <v>3009</v>
      </c>
      <c r="L512" s="91">
        <f>INT(C512*K512)</f>
        <v>3009</v>
      </c>
    </row>
    <row r="513" spans="1:12" ht="15" customHeight="1">
      <c r="A513" s="129" t="s">
        <v>1737</v>
      </c>
      <c r="B513" s="129"/>
      <c r="C513" s="73">
        <v>1</v>
      </c>
      <c r="D513" s="1" t="s">
        <v>55</v>
      </c>
      <c r="E513" s="91">
        <f t="shared" si="77"/>
        <v>25989</v>
      </c>
      <c r="F513" s="91">
        <f t="shared" si="77"/>
        <v>25989</v>
      </c>
      <c r="G513" s="91"/>
      <c r="H513" s="91">
        <f>INT(C513*G513)</f>
        <v>0</v>
      </c>
      <c r="I513" s="91"/>
      <c r="J513" s="91">
        <f>INT(C513*I513)</f>
        <v>0</v>
      </c>
      <c r="K513" s="91">
        <f>K504</f>
        <v>25989</v>
      </c>
      <c r="L513" s="91">
        <f>INT(C513*K513)</f>
        <v>25989</v>
      </c>
    </row>
    <row r="514" spans="1:12" ht="15" customHeight="1">
      <c r="A514" s="129" t="s">
        <v>2028</v>
      </c>
      <c r="B514" s="129"/>
      <c r="C514" s="73"/>
      <c r="D514" s="1" t="s">
        <v>990</v>
      </c>
      <c r="E514" s="91">
        <f t="shared" si="77"/>
        <v>-430</v>
      </c>
      <c r="F514" s="91">
        <f t="shared" si="77"/>
        <v>0</v>
      </c>
      <c r="G514" s="91">
        <f>G505</f>
        <v>0</v>
      </c>
      <c r="H514" s="91">
        <f>INT(C514*G514)</f>
        <v>0</v>
      </c>
      <c r="I514" s="91">
        <f>I505</f>
        <v>-430</v>
      </c>
      <c r="J514" s="91">
        <f>INT(C514*I514)</f>
        <v>0</v>
      </c>
      <c r="K514" s="91"/>
      <c r="L514" s="91"/>
    </row>
    <row r="515" spans="1:12" ht="15" customHeight="1">
      <c r="A515" s="129" t="s">
        <v>617</v>
      </c>
      <c r="B515" s="126"/>
      <c r="C515" s="129"/>
      <c r="D515" s="1"/>
      <c r="E515" s="301"/>
      <c r="F515" s="301">
        <f>H515+J515+L515</f>
        <v>38851</v>
      </c>
      <c r="G515" s="301"/>
      <c r="H515" s="301">
        <f>SUM(H511:H514)</f>
        <v>5830</v>
      </c>
      <c r="I515" s="301"/>
      <c r="J515" s="301">
        <f>SUM(J511:J514)</f>
        <v>4023</v>
      </c>
      <c r="K515" s="301"/>
      <c r="L515" s="301">
        <f>SUM(L511:L514)</f>
        <v>28998</v>
      </c>
    </row>
    <row r="516" spans="1:12" ht="15" customHeight="1">
      <c r="A516" s="209"/>
      <c r="B516" s="210"/>
      <c r="C516" s="95"/>
      <c r="D516" s="211"/>
      <c r="E516" s="212">
        <f>E510+1</f>
        <v>100</v>
      </c>
      <c r="F516" s="297" t="s">
        <v>2030</v>
      </c>
      <c r="G516" s="95"/>
      <c r="H516" s="298"/>
      <c r="I516" s="299"/>
      <c r="J516" s="298" t="s">
        <v>478</v>
      </c>
      <c r="K516" s="299"/>
      <c r="L516" s="300"/>
    </row>
    <row r="517" spans="1:12" ht="15" customHeight="1">
      <c r="A517" s="129" t="s">
        <v>2027</v>
      </c>
      <c r="B517" s="129" t="s">
        <v>2031</v>
      </c>
      <c r="C517" s="421">
        <v>1</v>
      </c>
      <c r="D517" s="1" t="s">
        <v>55</v>
      </c>
      <c r="E517" s="91">
        <f>G517+I517+K517</f>
        <v>1649</v>
      </c>
      <c r="F517" s="91">
        <f>H517+J517+L517</f>
        <v>1649</v>
      </c>
      <c r="G517" s="91">
        <f>G511</f>
        <v>789</v>
      </c>
      <c r="H517" s="91">
        <f>INT(C517*G517)</f>
        <v>789</v>
      </c>
      <c r="I517" s="91">
        <f>I511</f>
        <v>503</v>
      </c>
      <c r="J517" s="91">
        <f>INT(C517*I517)</f>
        <v>503</v>
      </c>
      <c r="K517" s="91">
        <f>K511</f>
        <v>357</v>
      </c>
      <c r="L517" s="91">
        <f>INT(C517*K517)</f>
        <v>357</v>
      </c>
    </row>
    <row r="518" spans="1:12" ht="15" customHeight="1">
      <c r="A518" s="129" t="s">
        <v>617</v>
      </c>
      <c r="B518" s="126"/>
      <c r="C518" s="129"/>
      <c r="D518" s="1"/>
      <c r="E518" s="301"/>
      <c r="F518" s="301">
        <f>H518+J518+L518</f>
        <v>1649</v>
      </c>
      <c r="G518" s="301"/>
      <c r="H518" s="301">
        <f>SUM(H517:H517)</f>
        <v>789</v>
      </c>
      <c r="I518" s="301"/>
      <c r="J518" s="301">
        <f>SUM(J517:J517)</f>
        <v>503</v>
      </c>
      <c r="K518" s="301"/>
      <c r="L518" s="301">
        <f>SUM(L517:L517)</f>
        <v>357</v>
      </c>
    </row>
    <row r="519" spans="1:12" ht="15" customHeight="1">
      <c r="A519" s="209"/>
      <c r="B519" s="210"/>
      <c r="C519" s="95"/>
      <c r="D519" s="211"/>
      <c r="E519" s="212">
        <f>E516+1</f>
        <v>101</v>
      </c>
      <c r="F519" s="297" t="s">
        <v>2038</v>
      </c>
      <c r="G519" s="95"/>
      <c r="H519" s="298"/>
      <c r="I519" s="299"/>
      <c r="J519" s="298" t="s">
        <v>1069</v>
      </c>
      <c r="K519" s="299"/>
      <c r="L519" s="300"/>
    </row>
    <row r="520" spans="1:12" ht="15" customHeight="1">
      <c r="A520" s="130" t="s">
        <v>2039</v>
      </c>
      <c r="B520" s="130" t="s">
        <v>1682</v>
      </c>
      <c r="C520" s="129"/>
      <c r="D520" s="1" t="s">
        <v>14</v>
      </c>
      <c r="E520" s="91">
        <f t="shared" ref="E520:F522" si="78">G520+I520+K520</f>
        <v>0</v>
      </c>
      <c r="F520" s="91">
        <f t="shared" si="78"/>
        <v>0</v>
      </c>
      <c r="G520" s="91">
        <v>0</v>
      </c>
      <c r="H520" s="91">
        <f>INT(C520*G520)</f>
        <v>0</v>
      </c>
      <c r="I520" s="91">
        <v>0</v>
      </c>
      <c r="J520" s="91">
        <f>INT(C520*I520)</f>
        <v>0</v>
      </c>
      <c r="K520" s="91">
        <v>0</v>
      </c>
      <c r="L520" s="91">
        <f>INT(C520*K520)</f>
        <v>0</v>
      </c>
    </row>
    <row r="521" spans="1:12" ht="15" customHeight="1">
      <c r="A521" s="130" t="s">
        <v>1180</v>
      </c>
      <c r="B521" s="130" t="s">
        <v>1682</v>
      </c>
      <c r="C521" s="129">
        <v>1</v>
      </c>
      <c r="D521" s="1" t="s">
        <v>14</v>
      </c>
      <c r="E521" s="91">
        <f t="shared" si="78"/>
        <v>73717</v>
      </c>
      <c r="F521" s="91">
        <f t="shared" si="78"/>
        <v>73717</v>
      </c>
      <c r="G521" s="91">
        <f>기초일람!F73</f>
        <v>63081</v>
      </c>
      <c r="H521" s="91">
        <f>INT(C521*G521)</f>
        <v>63081</v>
      </c>
      <c r="I521" s="91">
        <f>기초일람!G73</f>
        <v>3191</v>
      </c>
      <c r="J521" s="91">
        <f>INT(C521*I521)</f>
        <v>3191</v>
      </c>
      <c r="K521" s="91">
        <f>기초일람!H73</f>
        <v>7445</v>
      </c>
      <c r="L521" s="91">
        <f>INT(C521*K521)</f>
        <v>7445</v>
      </c>
    </row>
    <row r="522" spans="1:12" ht="15" customHeight="1">
      <c r="A522" s="130" t="s">
        <v>2035</v>
      </c>
      <c r="B522" s="130" t="s">
        <v>2050</v>
      </c>
      <c r="C522" s="134">
        <v>1</v>
      </c>
      <c r="D522" s="1" t="s">
        <v>317</v>
      </c>
      <c r="E522" s="91">
        <f t="shared" si="78"/>
        <v>750000</v>
      </c>
      <c r="F522" s="91">
        <f t="shared" si="78"/>
        <v>750000</v>
      </c>
      <c r="G522" s="91"/>
      <c r="H522" s="91">
        <f>INT(C522*G522)</f>
        <v>0</v>
      </c>
      <c r="I522" s="91">
        <v>750000</v>
      </c>
      <c r="J522" s="91">
        <f>INT(C522*I522)</f>
        <v>750000</v>
      </c>
      <c r="K522" s="91"/>
      <c r="L522" s="91">
        <f>INT(C522*K522)</f>
        <v>0</v>
      </c>
    </row>
    <row r="523" spans="1:12" ht="15" customHeight="1">
      <c r="A523" s="129" t="s">
        <v>617</v>
      </c>
      <c r="B523" s="126"/>
      <c r="C523" s="129"/>
      <c r="D523" s="1"/>
      <c r="E523" s="301"/>
      <c r="F523" s="301">
        <f>H523+J523+L523</f>
        <v>823717</v>
      </c>
      <c r="G523" s="301"/>
      <c r="H523" s="301">
        <f>SUM(H520:H522)</f>
        <v>63081</v>
      </c>
      <c r="I523" s="301"/>
      <c r="J523" s="301">
        <f>SUM(J520:J522)</f>
        <v>753191</v>
      </c>
      <c r="K523" s="301"/>
      <c r="L523" s="301">
        <f>SUM(L520:L522)</f>
        <v>7445</v>
      </c>
    </row>
    <row r="524" spans="1:12" ht="15" customHeight="1">
      <c r="A524" s="209"/>
      <c r="B524" s="210"/>
      <c r="C524" s="95"/>
      <c r="D524" s="211"/>
      <c r="E524" s="212">
        <f>E519+1</f>
        <v>102</v>
      </c>
      <c r="F524" s="297" t="s">
        <v>2040</v>
      </c>
      <c r="G524" s="95"/>
      <c r="H524" s="298"/>
      <c r="I524" s="299"/>
      <c r="J524" s="298" t="s">
        <v>1069</v>
      </c>
      <c r="K524" s="299"/>
      <c r="L524" s="300"/>
    </row>
    <row r="525" spans="1:12" ht="15" customHeight="1">
      <c r="A525" s="130" t="s">
        <v>2039</v>
      </c>
      <c r="B525" s="130" t="s">
        <v>1691</v>
      </c>
      <c r="C525" s="129"/>
      <c r="D525" s="1" t="s">
        <v>14</v>
      </c>
      <c r="E525" s="91">
        <f t="shared" ref="E525:F527" si="79">G525+I525+K525</f>
        <v>0</v>
      </c>
      <c r="F525" s="91">
        <f t="shared" si="79"/>
        <v>0</v>
      </c>
      <c r="G525" s="91">
        <v>0</v>
      </c>
      <c r="H525" s="91">
        <f>INT(C525*G525)</f>
        <v>0</v>
      </c>
      <c r="I525" s="91">
        <v>0</v>
      </c>
      <c r="J525" s="91">
        <f>INT(C525*I525)</f>
        <v>0</v>
      </c>
      <c r="K525" s="91">
        <v>0</v>
      </c>
      <c r="L525" s="91">
        <f>INT(C525*K525)</f>
        <v>0</v>
      </c>
    </row>
    <row r="526" spans="1:12" ht="15" customHeight="1">
      <c r="A526" s="130" t="s">
        <v>1180</v>
      </c>
      <c r="B526" s="130" t="s">
        <v>1691</v>
      </c>
      <c r="C526" s="129">
        <v>1</v>
      </c>
      <c r="D526" s="1" t="s">
        <v>14</v>
      </c>
      <c r="E526" s="91">
        <f t="shared" si="79"/>
        <v>223760</v>
      </c>
      <c r="F526" s="91">
        <f t="shared" si="79"/>
        <v>223760</v>
      </c>
      <c r="G526" s="91">
        <f>기초일람!F80</f>
        <v>188445</v>
      </c>
      <c r="H526" s="91">
        <f>INT(C526*G526)</f>
        <v>188445</v>
      </c>
      <c r="I526" s="91">
        <f>기초일람!G80</f>
        <v>15210</v>
      </c>
      <c r="J526" s="91">
        <f>INT(C526*I526)</f>
        <v>15210</v>
      </c>
      <c r="K526" s="91">
        <f>기초일람!H80</f>
        <v>20105</v>
      </c>
      <c r="L526" s="91">
        <f>INT(C526*K526)</f>
        <v>20105</v>
      </c>
    </row>
    <row r="527" spans="1:12" ht="15" customHeight="1">
      <c r="A527" s="130" t="s">
        <v>2035</v>
      </c>
      <c r="B527" s="130" t="s">
        <v>2051</v>
      </c>
      <c r="C527" s="134">
        <v>1</v>
      </c>
      <c r="D527" s="1" t="s">
        <v>317</v>
      </c>
      <c r="E527" s="91">
        <f t="shared" si="79"/>
        <v>900000</v>
      </c>
      <c r="F527" s="91">
        <f t="shared" si="79"/>
        <v>900000</v>
      </c>
      <c r="G527" s="91"/>
      <c r="H527" s="91">
        <f>INT(C527*G527)</f>
        <v>0</v>
      </c>
      <c r="I527" s="91">
        <v>900000</v>
      </c>
      <c r="J527" s="91">
        <f>INT(C527*I527)</f>
        <v>900000</v>
      </c>
      <c r="K527" s="91"/>
      <c r="L527" s="91">
        <f>INT(C527*K527)</f>
        <v>0</v>
      </c>
    </row>
    <row r="528" spans="1:12" ht="15" customHeight="1">
      <c r="A528" s="129" t="s">
        <v>617</v>
      </c>
      <c r="B528" s="126"/>
      <c r="C528" s="129"/>
      <c r="D528" s="1"/>
      <c r="E528" s="301"/>
      <c r="F528" s="301">
        <f>H528+J528+L528</f>
        <v>1123760</v>
      </c>
      <c r="G528" s="301"/>
      <c r="H528" s="301">
        <f>SUM(H525:H527)</f>
        <v>188445</v>
      </c>
      <c r="I528" s="301"/>
      <c r="J528" s="301">
        <f>SUM(J525:J527)</f>
        <v>915210</v>
      </c>
      <c r="K528" s="301"/>
      <c r="L528" s="301">
        <f>SUM(L525:L527)</f>
        <v>20105</v>
      </c>
    </row>
    <row r="529" spans="1:12" ht="15" customHeight="1">
      <c r="A529" s="209"/>
      <c r="B529" s="210"/>
      <c r="C529" s="95"/>
      <c r="D529" s="211"/>
      <c r="E529" s="212">
        <f>E524+1</f>
        <v>103</v>
      </c>
      <c r="F529" s="297" t="s">
        <v>2041</v>
      </c>
      <c r="G529" s="95"/>
      <c r="H529" s="298"/>
      <c r="I529" s="299"/>
      <c r="J529" s="298" t="s">
        <v>1069</v>
      </c>
      <c r="K529" s="299"/>
      <c r="L529" s="300"/>
    </row>
    <row r="530" spans="1:12" ht="15" customHeight="1">
      <c r="A530" s="130" t="s">
        <v>2039</v>
      </c>
      <c r="B530" s="130" t="s">
        <v>45</v>
      </c>
      <c r="C530" s="129"/>
      <c r="D530" s="1" t="s">
        <v>14</v>
      </c>
      <c r="E530" s="91">
        <f t="shared" ref="E530:F532" si="80">G530+I530+K530</f>
        <v>0</v>
      </c>
      <c r="F530" s="91">
        <f t="shared" si="80"/>
        <v>0</v>
      </c>
      <c r="G530" s="91">
        <v>0</v>
      </c>
      <c r="H530" s="91">
        <f>INT(C530*G530)</f>
        <v>0</v>
      </c>
      <c r="I530" s="91">
        <v>0</v>
      </c>
      <c r="J530" s="91">
        <f>INT(C530*I530)</f>
        <v>0</v>
      </c>
      <c r="K530" s="91">
        <v>0</v>
      </c>
      <c r="L530" s="91">
        <f>INT(C530*K530)</f>
        <v>0</v>
      </c>
    </row>
    <row r="531" spans="1:12" ht="15" customHeight="1">
      <c r="A531" s="130" t="s">
        <v>1180</v>
      </c>
      <c r="B531" s="130" t="s">
        <v>45</v>
      </c>
      <c r="C531" s="129">
        <v>1</v>
      </c>
      <c r="D531" s="1" t="s">
        <v>14</v>
      </c>
      <c r="E531" s="91">
        <f t="shared" si="80"/>
        <v>127126</v>
      </c>
      <c r="F531" s="91">
        <f t="shared" si="80"/>
        <v>127126</v>
      </c>
      <c r="G531" s="91">
        <f>기초일람!F78</f>
        <v>114253</v>
      </c>
      <c r="H531" s="91">
        <f>INT(C531*G531)</f>
        <v>114253</v>
      </c>
      <c r="I531" s="91">
        <f>기초일람!G78</f>
        <v>5105</v>
      </c>
      <c r="J531" s="91">
        <f>INT(C531*I531)</f>
        <v>5105</v>
      </c>
      <c r="K531" s="91">
        <f>기초일람!H78</f>
        <v>7768</v>
      </c>
      <c r="L531" s="91">
        <f>INT(C531*K531)</f>
        <v>7768</v>
      </c>
    </row>
    <row r="532" spans="1:12" ht="15" customHeight="1">
      <c r="A532" s="130" t="s">
        <v>2035</v>
      </c>
      <c r="B532" s="130" t="s">
        <v>2049</v>
      </c>
      <c r="C532" s="134">
        <v>1</v>
      </c>
      <c r="D532" s="1" t="s">
        <v>317</v>
      </c>
      <c r="E532" s="91">
        <f t="shared" si="80"/>
        <v>1100000</v>
      </c>
      <c r="F532" s="91">
        <f t="shared" si="80"/>
        <v>1100000</v>
      </c>
      <c r="G532" s="91"/>
      <c r="H532" s="91">
        <f>INT(C532*G532)</f>
        <v>0</v>
      </c>
      <c r="I532" s="91">
        <v>1100000</v>
      </c>
      <c r="J532" s="91">
        <f>INT(C532*I532)</f>
        <v>1100000</v>
      </c>
      <c r="K532" s="91"/>
      <c r="L532" s="91">
        <f>INT(C532*K532)</f>
        <v>0</v>
      </c>
    </row>
    <row r="533" spans="1:12" ht="15" customHeight="1">
      <c r="A533" s="129" t="s">
        <v>617</v>
      </c>
      <c r="B533" s="126"/>
      <c r="C533" s="129"/>
      <c r="D533" s="1"/>
      <c r="E533" s="301"/>
      <c r="F533" s="301">
        <f>H533+J533+L533</f>
        <v>1227126</v>
      </c>
      <c r="G533" s="301"/>
      <c r="H533" s="301">
        <f>SUM(H530:H532)</f>
        <v>114253</v>
      </c>
      <c r="I533" s="301"/>
      <c r="J533" s="301">
        <f>SUM(J530:J532)</f>
        <v>1105105</v>
      </c>
      <c r="K533" s="301"/>
      <c r="L533" s="301">
        <f>SUM(L530:L532)</f>
        <v>7768</v>
      </c>
    </row>
    <row r="534" spans="1:12" ht="15" customHeight="1">
      <c r="A534" s="209"/>
      <c r="B534" s="210"/>
      <c r="C534" s="95"/>
      <c r="D534" s="211"/>
      <c r="E534" s="212">
        <f>E529+1</f>
        <v>104</v>
      </c>
      <c r="F534" s="297" t="s">
        <v>2060</v>
      </c>
      <c r="G534" s="95"/>
      <c r="H534" s="298"/>
      <c r="I534" s="299"/>
      <c r="J534" s="298" t="s">
        <v>1986</v>
      </c>
      <c r="K534" s="299"/>
      <c r="L534" s="300"/>
    </row>
    <row r="535" spans="1:12" ht="15" customHeight="1">
      <c r="A535" s="129" t="s">
        <v>1900</v>
      </c>
      <c r="B535" s="129" t="s">
        <v>2061</v>
      </c>
      <c r="C535" s="421">
        <v>1</v>
      </c>
      <c r="D535" s="1" t="s">
        <v>440</v>
      </c>
      <c r="E535" s="91">
        <f>G535+I535+K535</f>
        <v>160000</v>
      </c>
      <c r="F535" s="91">
        <f>H535+J535+L535</f>
        <v>160000</v>
      </c>
      <c r="G535" s="91">
        <v>0</v>
      </c>
      <c r="H535" s="91">
        <f>INT(C535*G535)</f>
        <v>0</v>
      </c>
      <c r="I535" s="91">
        <f>자재!F271</f>
        <v>160000</v>
      </c>
      <c r="J535" s="91">
        <f>INT(C535*I535)</f>
        <v>160000</v>
      </c>
      <c r="K535" s="91">
        <v>0</v>
      </c>
      <c r="L535" s="91">
        <f>INT(C535*K535)</f>
        <v>0</v>
      </c>
    </row>
    <row r="536" spans="1:12" ht="15" customHeight="1">
      <c r="A536" s="129" t="s">
        <v>356</v>
      </c>
      <c r="B536" s="129" t="s">
        <v>434</v>
      </c>
      <c r="C536" s="73">
        <v>0.05</v>
      </c>
      <c r="D536" s="1"/>
      <c r="E536" s="91">
        <f>G536+I536+K536</f>
        <v>160000</v>
      </c>
      <c r="F536" s="91">
        <f>H536+J536+L536</f>
        <v>8000</v>
      </c>
      <c r="G536" s="91">
        <f>J535</f>
        <v>160000</v>
      </c>
      <c r="H536" s="91">
        <f>INT(C536*G536)</f>
        <v>8000</v>
      </c>
      <c r="I536" s="91"/>
      <c r="J536" s="91">
        <f>INT(C536*I536)</f>
        <v>0</v>
      </c>
      <c r="K536" s="91"/>
      <c r="L536" s="91">
        <f>INT(C536*K536)</f>
        <v>0</v>
      </c>
    </row>
    <row r="537" spans="1:12" ht="15" customHeight="1">
      <c r="A537" s="129" t="s">
        <v>617</v>
      </c>
      <c r="B537" s="126"/>
      <c r="C537" s="129"/>
      <c r="D537" s="1"/>
      <c r="E537" s="301"/>
      <c r="F537" s="301">
        <f>H537+J537+L537</f>
        <v>168000</v>
      </c>
      <c r="G537" s="301"/>
      <c r="H537" s="301">
        <f>SUM(H535:H536)</f>
        <v>8000</v>
      </c>
      <c r="I537" s="301"/>
      <c r="J537" s="301">
        <f>SUM(J535:J536)</f>
        <v>160000</v>
      </c>
      <c r="K537" s="301"/>
      <c r="L537" s="301">
        <f>SUM(L535:L536)</f>
        <v>0</v>
      </c>
    </row>
    <row r="538" spans="1:12" ht="15" customHeight="1">
      <c r="A538" s="209"/>
      <c r="B538" s="210"/>
      <c r="C538" s="95"/>
      <c r="D538" s="211"/>
      <c r="E538" s="212">
        <f>E534+1</f>
        <v>105</v>
      </c>
      <c r="F538" s="297" t="s">
        <v>2062</v>
      </c>
      <c r="G538" s="95"/>
      <c r="H538" s="298"/>
      <c r="I538" s="299"/>
      <c r="J538" s="298" t="s">
        <v>1986</v>
      </c>
      <c r="K538" s="299"/>
      <c r="L538" s="300"/>
    </row>
    <row r="539" spans="1:12" ht="15" customHeight="1">
      <c r="A539" s="129" t="s">
        <v>2055</v>
      </c>
      <c r="B539" s="129" t="s">
        <v>2063</v>
      </c>
      <c r="C539" s="421">
        <v>1</v>
      </c>
      <c r="D539" s="1" t="s">
        <v>440</v>
      </c>
      <c r="E539" s="91">
        <f>G539+I539+K539</f>
        <v>310000</v>
      </c>
      <c r="F539" s="91">
        <f>H539+J539+L539</f>
        <v>310000</v>
      </c>
      <c r="G539" s="91">
        <v>0</v>
      </c>
      <c r="H539" s="91">
        <f>INT(C539*G539)</f>
        <v>0</v>
      </c>
      <c r="I539" s="91">
        <f>자재!F272</f>
        <v>310000</v>
      </c>
      <c r="J539" s="91">
        <f>INT(C539*I539)</f>
        <v>310000</v>
      </c>
      <c r="K539" s="91">
        <v>0</v>
      </c>
      <c r="L539" s="91">
        <f>INT(C539*K539)</f>
        <v>0</v>
      </c>
    </row>
    <row r="540" spans="1:12" ht="15" customHeight="1">
      <c r="A540" s="129" t="s">
        <v>356</v>
      </c>
      <c r="B540" s="129" t="s">
        <v>434</v>
      </c>
      <c r="C540" s="73">
        <v>0.05</v>
      </c>
      <c r="D540" s="1"/>
      <c r="E540" s="91">
        <f>G540+I540+K540</f>
        <v>310000</v>
      </c>
      <c r="F540" s="91">
        <f>H540+J540+L540</f>
        <v>15500</v>
      </c>
      <c r="G540" s="91">
        <f>J539</f>
        <v>310000</v>
      </c>
      <c r="H540" s="91">
        <f>INT(C540*G540)</f>
        <v>15500</v>
      </c>
      <c r="I540" s="91"/>
      <c r="J540" s="91">
        <f>INT(C540*I540)</f>
        <v>0</v>
      </c>
      <c r="K540" s="91"/>
      <c r="L540" s="91">
        <f>INT(C540*K540)</f>
        <v>0</v>
      </c>
    </row>
    <row r="541" spans="1:12" ht="15" customHeight="1">
      <c r="A541" s="129" t="s">
        <v>617</v>
      </c>
      <c r="B541" s="126"/>
      <c r="C541" s="129"/>
      <c r="D541" s="1"/>
      <c r="E541" s="301"/>
      <c r="F541" s="301">
        <f>H541+J541+L541</f>
        <v>325500</v>
      </c>
      <c r="G541" s="301"/>
      <c r="H541" s="301">
        <f>SUM(H539:H540)</f>
        <v>15500</v>
      </c>
      <c r="I541" s="301"/>
      <c r="J541" s="301">
        <f>SUM(J539:J540)</f>
        <v>310000</v>
      </c>
      <c r="K541" s="301"/>
      <c r="L541" s="301">
        <f>SUM(L539:L540)</f>
        <v>0</v>
      </c>
    </row>
    <row r="542" spans="1:12" ht="15" customHeight="1">
      <c r="A542" s="209"/>
      <c r="B542" s="210"/>
      <c r="C542" s="95"/>
      <c r="D542" s="211"/>
      <c r="E542" s="212">
        <f>E538+1</f>
        <v>106</v>
      </c>
      <c r="F542" s="297" t="s">
        <v>2067</v>
      </c>
      <c r="G542" s="95"/>
      <c r="H542" s="298"/>
      <c r="I542" s="299"/>
      <c r="J542" s="298" t="s">
        <v>1069</v>
      </c>
      <c r="K542" s="299"/>
      <c r="L542" s="300"/>
    </row>
    <row r="543" spans="1:12" ht="15" customHeight="1">
      <c r="A543" s="130" t="s">
        <v>1771</v>
      </c>
      <c r="B543" s="130"/>
      <c r="C543" s="129">
        <v>1</v>
      </c>
      <c r="D543" s="1" t="s">
        <v>14</v>
      </c>
      <c r="E543" s="91">
        <f t="shared" ref="E543:F545" si="81">G543+I543+K543</f>
        <v>0</v>
      </c>
      <c r="F543" s="91">
        <f t="shared" si="81"/>
        <v>0</v>
      </c>
      <c r="G543" s="91">
        <f>자재일람!F316</f>
        <v>0</v>
      </c>
      <c r="H543" s="91">
        <f>INT(C543*G543)</f>
        <v>0</v>
      </c>
      <c r="I543" s="91">
        <f>자재일람!G316</f>
        <v>0</v>
      </c>
      <c r="J543" s="91">
        <f>INT(C543*I543)</f>
        <v>0</v>
      </c>
      <c r="K543" s="91">
        <f>자재일람!H316</f>
        <v>0</v>
      </c>
      <c r="L543" s="91">
        <f>INT(C543*K543)</f>
        <v>0</v>
      </c>
    </row>
    <row r="544" spans="1:12" ht="15" customHeight="1">
      <c r="A544" s="130" t="s">
        <v>1180</v>
      </c>
      <c r="B544" s="130" t="s">
        <v>2064</v>
      </c>
      <c r="C544" s="129">
        <v>1</v>
      </c>
      <c r="D544" s="1" t="s">
        <v>14</v>
      </c>
      <c r="E544" s="91">
        <f t="shared" si="81"/>
        <v>299350</v>
      </c>
      <c r="F544" s="91">
        <f t="shared" si="81"/>
        <v>299350</v>
      </c>
      <c r="G544" s="91">
        <f>기초일람!F79</f>
        <v>252387</v>
      </c>
      <c r="H544" s="91">
        <f>INT(C544*G544)</f>
        <v>252387</v>
      </c>
      <c r="I544" s="91">
        <f>기초일람!G79</f>
        <v>20210</v>
      </c>
      <c r="J544" s="91">
        <f>INT(C544*I544)</f>
        <v>20210</v>
      </c>
      <c r="K544" s="91">
        <f>기초일람!H79</f>
        <v>26753</v>
      </c>
      <c r="L544" s="91">
        <f>INT(C544*K544)</f>
        <v>26753</v>
      </c>
    </row>
    <row r="545" spans="1:12" ht="15" customHeight="1">
      <c r="A545" s="130" t="s">
        <v>3</v>
      </c>
      <c r="B545" s="130" t="s">
        <v>2064</v>
      </c>
      <c r="C545" s="134">
        <v>1</v>
      </c>
      <c r="D545" s="1" t="s">
        <v>14</v>
      </c>
      <c r="E545" s="91">
        <f t="shared" si="81"/>
        <v>0</v>
      </c>
      <c r="F545" s="91">
        <f t="shared" si="81"/>
        <v>0</v>
      </c>
      <c r="G545" s="91"/>
      <c r="H545" s="91">
        <f>INT(C545*G545)</f>
        <v>0</v>
      </c>
      <c r="I545" s="91"/>
      <c r="J545" s="91">
        <f>INT(C545*I545)</f>
        <v>0</v>
      </c>
      <c r="K545" s="91"/>
      <c r="L545" s="91">
        <f>INT(C545*K545)</f>
        <v>0</v>
      </c>
    </row>
    <row r="546" spans="1:12" ht="15" customHeight="1">
      <c r="A546" s="129" t="s">
        <v>617</v>
      </c>
      <c r="B546" s="126"/>
      <c r="C546" s="129"/>
      <c r="D546" s="1"/>
      <c r="E546" s="301"/>
      <c r="F546" s="301">
        <f>H546+J546+L546</f>
        <v>299350</v>
      </c>
      <c r="G546" s="301"/>
      <c r="H546" s="301">
        <f>SUM(H543:H545)</f>
        <v>252387</v>
      </c>
      <c r="I546" s="301"/>
      <c r="J546" s="301">
        <f>SUM(J543:J545)</f>
        <v>20210</v>
      </c>
      <c r="K546" s="301"/>
      <c r="L546" s="301">
        <f>SUM(L543:L545)</f>
        <v>26753</v>
      </c>
    </row>
    <row r="547" spans="1:12" ht="15" customHeight="1">
      <c r="A547" s="209"/>
      <c r="B547" s="210"/>
      <c r="C547" s="95"/>
      <c r="D547" s="211"/>
      <c r="E547" s="212">
        <f>E542+1</f>
        <v>107</v>
      </c>
      <c r="F547" s="297" t="s">
        <v>2068</v>
      </c>
      <c r="G547" s="95"/>
      <c r="H547" s="298"/>
      <c r="I547" s="299"/>
      <c r="J547" s="298" t="s">
        <v>1069</v>
      </c>
      <c r="K547" s="299"/>
      <c r="L547" s="300"/>
    </row>
    <row r="548" spans="1:12" ht="15" customHeight="1">
      <c r="A548" s="130" t="s">
        <v>708</v>
      </c>
      <c r="B548" s="130" t="s">
        <v>707</v>
      </c>
      <c r="C548" s="129">
        <v>0.5</v>
      </c>
      <c r="D548" s="1"/>
      <c r="E548" s="91">
        <f>G548+I548+K548</f>
        <v>299350</v>
      </c>
      <c r="F548" s="91">
        <f>H548+J548+L548</f>
        <v>149674</v>
      </c>
      <c r="G548" s="91">
        <f>H546</f>
        <v>252387</v>
      </c>
      <c r="H548" s="91">
        <f>INT(C548*G548)</f>
        <v>126193</v>
      </c>
      <c r="I548" s="91">
        <f>J546</f>
        <v>20210</v>
      </c>
      <c r="J548" s="91">
        <f>INT(C548*I548)</f>
        <v>10105</v>
      </c>
      <c r="K548" s="91">
        <f>L546</f>
        <v>26753</v>
      </c>
      <c r="L548" s="91">
        <f>INT(C548*K548)</f>
        <v>13376</v>
      </c>
    </row>
    <row r="549" spans="1:12" ht="15" customHeight="1">
      <c r="A549" s="129" t="s">
        <v>617</v>
      </c>
      <c r="B549" s="126"/>
      <c r="C549" s="129"/>
      <c r="D549" s="1"/>
      <c r="E549" s="301"/>
      <c r="F549" s="301">
        <f>H549+J549+L549</f>
        <v>149674</v>
      </c>
      <c r="G549" s="301"/>
      <c r="H549" s="301">
        <f>SUM(H548:H548)</f>
        <v>126193</v>
      </c>
      <c r="I549" s="301"/>
      <c r="J549" s="301">
        <f>SUM(J548:J548)</f>
        <v>10105</v>
      </c>
      <c r="K549" s="301"/>
      <c r="L549" s="301">
        <f>SUM(L548:L548)</f>
        <v>13376</v>
      </c>
    </row>
    <row r="550" spans="1:12" ht="15" customHeight="1">
      <c r="A550" s="209"/>
      <c r="B550" s="210"/>
      <c r="C550" s="95"/>
      <c r="D550" s="211"/>
      <c r="E550" s="212">
        <f>E547+1</f>
        <v>108</v>
      </c>
      <c r="F550" s="297" t="s">
        <v>2097</v>
      </c>
      <c r="G550" s="95"/>
      <c r="H550" s="298"/>
      <c r="I550" s="299"/>
      <c r="J550" s="298" t="s">
        <v>1986</v>
      </c>
      <c r="K550" s="299"/>
      <c r="L550" s="300"/>
    </row>
    <row r="551" spans="1:12" ht="15" customHeight="1">
      <c r="A551" s="129" t="s">
        <v>1900</v>
      </c>
      <c r="B551" s="129" t="s">
        <v>2096</v>
      </c>
      <c r="C551" s="421">
        <v>1</v>
      </c>
      <c r="D551" s="1" t="s">
        <v>440</v>
      </c>
      <c r="E551" s="91">
        <f>G551+I551+K551</f>
        <v>205000</v>
      </c>
      <c r="F551" s="91">
        <f>H551+J551+L551</f>
        <v>205000</v>
      </c>
      <c r="G551" s="91">
        <v>0</v>
      </c>
      <c r="H551" s="91">
        <f>INT(C551*G551)</f>
        <v>0</v>
      </c>
      <c r="I551" s="91">
        <f>자재!F273</f>
        <v>205000</v>
      </c>
      <c r="J551" s="91">
        <f>INT(C551*I551)</f>
        <v>205000</v>
      </c>
      <c r="K551" s="91">
        <v>0</v>
      </c>
      <c r="L551" s="91">
        <f>INT(C551*K551)</f>
        <v>0</v>
      </c>
    </row>
    <row r="552" spans="1:12" ht="15" customHeight="1">
      <c r="A552" s="129" t="s">
        <v>356</v>
      </c>
      <c r="B552" s="129" t="s">
        <v>434</v>
      </c>
      <c r="C552" s="73">
        <v>0.05</v>
      </c>
      <c r="D552" s="1"/>
      <c r="E552" s="91">
        <f>G552+I552+K552</f>
        <v>205000</v>
      </c>
      <c r="F552" s="91">
        <f>H552+J552+L552</f>
        <v>10250</v>
      </c>
      <c r="G552" s="91">
        <f>J551</f>
        <v>205000</v>
      </c>
      <c r="H552" s="91">
        <f>INT(C552*G552)</f>
        <v>10250</v>
      </c>
      <c r="I552" s="91"/>
      <c r="J552" s="91">
        <f>INT(C552*I552)</f>
        <v>0</v>
      </c>
      <c r="K552" s="91"/>
      <c r="L552" s="91">
        <f>INT(C552*K552)</f>
        <v>0</v>
      </c>
    </row>
    <row r="553" spans="1:12" ht="15" customHeight="1">
      <c r="A553" s="129" t="s">
        <v>617</v>
      </c>
      <c r="B553" s="126"/>
      <c r="C553" s="129"/>
      <c r="D553" s="1"/>
      <c r="E553" s="301"/>
      <c r="F553" s="301">
        <f>H553+J553+L553</f>
        <v>215250</v>
      </c>
      <c r="G553" s="301"/>
      <c r="H553" s="301">
        <f>SUM(H551:H552)</f>
        <v>10250</v>
      </c>
      <c r="I553" s="301"/>
      <c r="J553" s="301">
        <f>SUM(J551:J552)</f>
        <v>205000</v>
      </c>
      <c r="K553" s="301"/>
      <c r="L553" s="301">
        <f>SUM(L551:L552)</f>
        <v>0</v>
      </c>
    </row>
    <row r="554" spans="1:12" ht="15" customHeight="1">
      <c r="A554" s="209"/>
      <c r="B554" s="210"/>
      <c r="C554" s="95"/>
      <c r="D554" s="211"/>
      <c r="E554" s="212">
        <f>E550+1</f>
        <v>109</v>
      </c>
      <c r="F554" s="297" t="s">
        <v>2098</v>
      </c>
      <c r="G554" s="95"/>
      <c r="H554" s="298"/>
      <c r="I554" s="299"/>
      <c r="J554" s="298" t="s">
        <v>1986</v>
      </c>
      <c r="K554" s="299"/>
      <c r="L554" s="300"/>
    </row>
    <row r="555" spans="1:12" ht="15" customHeight="1">
      <c r="A555" s="129" t="s">
        <v>2055</v>
      </c>
      <c r="B555" s="129" t="s">
        <v>2099</v>
      </c>
      <c r="C555" s="421">
        <v>1</v>
      </c>
      <c r="D555" s="1" t="s">
        <v>440</v>
      </c>
      <c r="E555" s="91">
        <f>G555+I555+K555</f>
        <v>153000</v>
      </c>
      <c r="F555" s="91">
        <f>H555+J555+L555</f>
        <v>153000</v>
      </c>
      <c r="G555" s="91">
        <v>0</v>
      </c>
      <c r="H555" s="91">
        <f>INT(C555*G555)</f>
        <v>0</v>
      </c>
      <c r="I555" s="91">
        <f>자재!F274</f>
        <v>153000</v>
      </c>
      <c r="J555" s="91">
        <f>INT(C555*I555)</f>
        <v>153000</v>
      </c>
      <c r="K555" s="91">
        <v>0</v>
      </c>
      <c r="L555" s="91">
        <f>INT(C555*K555)</f>
        <v>0</v>
      </c>
    </row>
    <row r="556" spans="1:12" ht="15" customHeight="1">
      <c r="A556" s="129" t="s">
        <v>356</v>
      </c>
      <c r="B556" s="129" t="s">
        <v>434</v>
      </c>
      <c r="C556" s="73">
        <v>0.05</v>
      </c>
      <c r="D556" s="1"/>
      <c r="E556" s="91">
        <f>G556+I556+K556</f>
        <v>153000</v>
      </c>
      <c r="F556" s="91">
        <f>H556+J556+L556</f>
        <v>7650</v>
      </c>
      <c r="G556" s="91">
        <f>J555</f>
        <v>153000</v>
      </c>
      <c r="H556" s="91">
        <f>INT(C556*G556)</f>
        <v>7650</v>
      </c>
      <c r="I556" s="91"/>
      <c r="J556" s="91">
        <f>INT(C556*I556)</f>
        <v>0</v>
      </c>
      <c r="K556" s="91"/>
      <c r="L556" s="91">
        <f>INT(C556*K556)</f>
        <v>0</v>
      </c>
    </row>
    <row r="557" spans="1:12" ht="15" customHeight="1">
      <c r="A557" s="129" t="s">
        <v>617</v>
      </c>
      <c r="B557" s="126"/>
      <c r="C557" s="129"/>
      <c r="D557" s="1"/>
      <c r="E557" s="301"/>
      <c r="F557" s="301">
        <f>H557+J557+L557</f>
        <v>160650</v>
      </c>
      <c r="G557" s="301"/>
      <c r="H557" s="301">
        <f>SUM(H555:H556)</f>
        <v>7650</v>
      </c>
      <c r="I557" s="301"/>
      <c r="J557" s="301">
        <f>SUM(J555:J556)</f>
        <v>153000</v>
      </c>
      <c r="K557" s="301"/>
      <c r="L557" s="301">
        <f>SUM(L555:L556)</f>
        <v>0</v>
      </c>
    </row>
    <row r="558" spans="1:12" ht="15" customHeight="1">
      <c r="A558" s="209"/>
      <c r="B558" s="210"/>
      <c r="C558" s="95"/>
      <c r="D558" s="211"/>
      <c r="E558" s="212">
        <f>E554+1</f>
        <v>110</v>
      </c>
      <c r="F558" s="231" t="s">
        <v>2112</v>
      </c>
      <c r="G558" s="95"/>
      <c r="H558" s="298"/>
      <c r="I558" s="299"/>
      <c r="J558" s="298" t="s">
        <v>2115</v>
      </c>
      <c r="K558" s="299"/>
      <c r="L558" s="300"/>
    </row>
    <row r="559" spans="1:12" ht="15" customHeight="1">
      <c r="A559" s="129" t="s">
        <v>2116</v>
      </c>
      <c r="B559" s="129" t="s">
        <v>2133</v>
      </c>
      <c r="C559" s="421">
        <v>1</v>
      </c>
      <c r="D559" s="1" t="s">
        <v>2134</v>
      </c>
      <c r="E559" s="91">
        <f>G559+I559+K559</f>
        <v>8400</v>
      </c>
      <c r="F559" s="91">
        <f>H559+J559+L559</f>
        <v>8400</v>
      </c>
      <c r="G559" s="91">
        <v>0</v>
      </c>
      <c r="H559" s="91">
        <f>INT(C559*G559)</f>
        <v>0</v>
      </c>
      <c r="I559" s="91">
        <f>자재!F59</f>
        <v>8400</v>
      </c>
      <c r="J559" s="91">
        <f>INT(C559*I559)</f>
        <v>8400</v>
      </c>
      <c r="K559" s="91">
        <v>0</v>
      </c>
      <c r="L559" s="91">
        <f>INT(C559*K559)</f>
        <v>0</v>
      </c>
    </row>
    <row r="560" spans="1:12" ht="15" customHeight="1">
      <c r="A560" s="129" t="s">
        <v>2117</v>
      </c>
      <c r="B560" s="129" t="s">
        <v>2135</v>
      </c>
      <c r="C560" s="73">
        <v>0.27400000000000002</v>
      </c>
      <c r="D560" s="1" t="s">
        <v>2130</v>
      </c>
      <c r="E560" s="91">
        <f>G560+I560+K560</f>
        <v>9261</v>
      </c>
      <c r="F560" s="91">
        <f>H560+J560+L560</f>
        <v>2536</v>
      </c>
      <c r="G560" s="91">
        <f>J559</f>
        <v>8400</v>
      </c>
      <c r="H560" s="91">
        <f>INT(C560*G560)</f>
        <v>2301</v>
      </c>
      <c r="I560" s="91">
        <f>자재!F182</f>
        <v>861</v>
      </c>
      <c r="J560" s="91">
        <f>INT(C560*I560)</f>
        <v>235</v>
      </c>
      <c r="K560" s="91"/>
      <c r="L560" s="91">
        <f>INT(C560*K560)</f>
        <v>0</v>
      </c>
    </row>
    <row r="561" spans="1:12" ht="15" customHeight="1">
      <c r="A561" s="129" t="s">
        <v>2118</v>
      </c>
      <c r="B561" s="129" t="s">
        <v>2119</v>
      </c>
      <c r="C561" s="73"/>
      <c r="D561" s="1"/>
      <c r="E561" s="91"/>
      <c r="F561" s="91"/>
      <c r="G561" s="91" t="s">
        <v>2120</v>
      </c>
      <c r="H561" s="91">
        <f>INT((J559+J560)*0.1)</f>
        <v>863</v>
      </c>
      <c r="I561" s="91"/>
      <c r="J561" s="91"/>
      <c r="K561" s="91"/>
      <c r="L561" s="91"/>
    </row>
    <row r="562" spans="1:12" ht="15" customHeight="1">
      <c r="A562" s="129" t="s">
        <v>617</v>
      </c>
      <c r="B562" s="126"/>
      <c r="C562" s="129"/>
      <c r="D562" s="1"/>
      <c r="E562" s="301"/>
      <c r="F562" s="301">
        <f>H562+J562+L562</f>
        <v>11799</v>
      </c>
      <c r="G562" s="301"/>
      <c r="H562" s="301">
        <f>SUM(H559:H561)</f>
        <v>3164</v>
      </c>
      <c r="I562" s="301"/>
      <c r="J562" s="301">
        <f>SUM(J559:J561)</f>
        <v>8635</v>
      </c>
      <c r="K562" s="301"/>
      <c r="L562" s="301">
        <f>SUM(L559:L561)</f>
        <v>0</v>
      </c>
    </row>
    <row r="563" spans="1:12" ht="15" customHeight="1">
      <c r="A563" s="209"/>
      <c r="B563" s="210"/>
      <c r="C563" s="95"/>
      <c r="D563" s="211"/>
      <c r="E563" s="212">
        <f>E558+1</f>
        <v>111</v>
      </c>
      <c r="F563" s="231" t="s">
        <v>2132</v>
      </c>
      <c r="G563" s="95"/>
      <c r="H563" s="298"/>
      <c r="I563" s="299"/>
      <c r="J563" s="298" t="s">
        <v>2114</v>
      </c>
      <c r="K563" s="299"/>
      <c r="L563" s="300"/>
    </row>
    <row r="564" spans="1:12" ht="15" customHeight="1">
      <c r="A564" s="129" t="s">
        <v>2121</v>
      </c>
      <c r="B564" s="129" t="s">
        <v>2122</v>
      </c>
      <c r="C564" s="421">
        <v>1</v>
      </c>
      <c r="D564" s="1" t="s">
        <v>2131</v>
      </c>
      <c r="E564" s="91">
        <f t="shared" ref="E564:F568" si="82">G564+I564+K564</f>
        <v>0</v>
      </c>
      <c r="F564" s="91">
        <f t="shared" si="82"/>
        <v>0</v>
      </c>
      <c r="G564" s="91">
        <v>0</v>
      </c>
      <c r="H564" s="91">
        <f>INT(C564*G564)</f>
        <v>0</v>
      </c>
      <c r="I564" s="91">
        <f>자재!F290</f>
        <v>0</v>
      </c>
      <c r="J564" s="91">
        <f>INT(C564*I564)</f>
        <v>0</v>
      </c>
      <c r="K564" s="91">
        <v>0</v>
      </c>
      <c r="L564" s="91">
        <f>INT(C564*K564)</f>
        <v>0</v>
      </c>
    </row>
    <row r="565" spans="1:12" ht="15" customHeight="1">
      <c r="A565" s="129" t="s">
        <v>2123</v>
      </c>
      <c r="B565" s="129" t="s">
        <v>2124</v>
      </c>
      <c r="C565" s="421">
        <v>0.21</v>
      </c>
      <c r="D565" s="1" t="s">
        <v>2130</v>
      </c>
      <c r="E565" s="91">
        <f t="shared" si="82"/>
        <v>946</v>
      </c>
      <c r="F565" s="91">
        <f t="shared" si="82"/>
        <v>198</v>
      </c>
      <c r="G565" s="91">
        <v>0</v>
      </c>
      <c r="H565" s="91">
        <f>INT(C565*G565)</f>
        <v>0</v>
      </c>
      <c r="I565" s="91">
        <f>자재!F120</f>
        <v>946</v>
      </c>
      <c r="J565" s="91">
        <f>INT(C565*I565)</f>
        <v>198</v>
      </c>
      <c r="K565" s="91">
        <v>0</v>
      </c>
      <c r="L565" s="91">
        <f>INT(C565*K565)</f>
        <v>0</v>
      </c>
    </row>
    <row r="566" spans="1:12" ht="15" customHeight="1">
      <c r="A566" s="129" t="s">
        <v>2125</v>
      </c>
      <c r="B566" s="129"/>
      <c r="C566" s="73">
        <v>0.151</v>
      </c>
      <c r="D566" s="1" t="s">
        <v>2128</v>
      </c>
      <c r="E566" s="91">
        <f t="shared" si="82"/>
        <v>226122</v>
      </c>
      <c r="F566" s="91">
        <f t="shared" si="82"/>
        <v>34144</v>
      </c>
      <c r="G566" s="91">
        <f>노임!D13</f>
        <v>226122</v>
      </c>
      <c r="H566" s="91">
        <f>INT(C566*G566)</f>
        <v>34144</v>
      </c>
      <c r="I566" s="91">
        <f>자재!F292</f>
        <v>0</v>
      </c>
      <c r="J566" s="91">
        <f>INT(C566*I566)</f>
        <v>0</v>
      </c>
      <c r="K566" s="91">
        <v>0</v>
      </c>
      <c r="L566" s="91">
        <f>INT(C566*K566)</f>
        <v>0</v>
      </c>
    </row>
    <row r="567" spans="1:12" ht="15" customHeight="1">
      <c r="A567" s="129" t="s">
        <v>2126</v>
      </c>
      <c r="B567" s="129"/>
      <c r="C567" s="73">
        <v>0.11600000000000001</v>
      </c>
      <c r="D567" s="1" t="s">
        <v>2128</v>
      </c>
      <c r="E567" s="91">
        <f t="shared" si="82"/>
        <v>172068</v>
      </c>
      <c r="F567" s="91">
        <f t="shared" si="82"/>
        <v>19959</v>
      </c>
      <c r="G567" s="91">
        <f>노임!D14</f>
        <v>172068</v>
      </c>
      <c r="H567" s="91">
        <f>INT(C567*G567)</f>
        <v>19959</v>
      </c>
      <c r="I567" s="91">
        <f>자재!F293</f>
        <v>0</v>
      </c>
      <c r="J567" s="91">
        <f>INT(C567*I567)</f>
        <v>0</v>
      </c>
      <c r="K567" s="91">
        <v>0</v>
      </c>
      <c r="L567" s="91">
        <f>INT(C567*K567)</f>
        <v>0</v>
      </c>
    </row>
    <row r="568" spans="1:12" ht="15" customHeight="1">
      <c r="A568" s="129" t="s">
        <v>714</v>
      </c>
      <c r="B568" s="129" t="s">
        <v>2127</v>
      </c>
      <c r="C568" s="73">
        <v>0.03</v>
      </c>
      <c r="D568" s="1" t="s">
        <v>2129</v>
      </c>
      <c r="E568" s="91">
        <f t="shared" si="82"/>
        <v>0</v>
      </c>
      <c r="F568" s="91">
        <f t="shared" si="82"/>
        <v>1623</v>
      </c>
      <c r="G568" s="91">
        <v>0</v>
      </c>
      <c r="H568" s="91">
        <f>INT(C568*G568)</f>
        <v>0</v>
      </c>
      <c r="I568" s="91">
        <f>자재!F294</f>
        <v>0</v>
      </c>
      <c r="J568" s="91">
        <f>INT((H566+H567)*0.03)</f>
        <v>1623</v>
      </c>
      <c r="K568" s="91">
        <v>0</v>
      </c>
      <c r="L568" s="91">
        <f>INT(C568*K568)</f>
        <v>0</v>
      </c>
    </row>
    <row r="569" spans="1:12" ht="15" customHeight="1">
      <c r="A569" s="129" t="s">
        <v>617</v>
      </c>
      <c r="B569" s="126"/>
      <c r="C569" s="129"/>
      <c r="D569" s="1"/>
      <c r="E569" s="301"/>
      <c r="F569" s="301">
        <f>H569+J569+L569</f>
        <v>55924</v>
      </c>
      <c r="G569" s="301"/>
      <c r="H569" s="301">
        <f>SUM(H564:H568)</f>
        <v>54103</v>
      </c>
      <c r="I569" s="301"/>
      <c r="J569" s="301">
        <f>SUM(J564:J568)</f>
        <v>1821</v>
      </c>
      <c r="K569" s="301"/>
      <c r="L569" s="301">
        <f>SUM(L564:L568)</f>
        <v>0</v>
      </c>
    </row>
    <row r="570" spans="1:12" ht="15" customHeight="1">
      <c r="A570" s="209"/>
      <c r="B570" s="210"/>
      <c r="C570" s="95"/>
      <c r="D570" s="211"/>
      <c r="E570" s="212">
        <f>E563+1</f>
        <v>112</v>
      </c>
      <c r="F570" s="297" t="s">
        <v>2254</v>
      </c>
      <c r="G570" s="95"/>
      <c r="H570" s="298"/>
      <c r="I570" s="299"/>
      <c r="J570" s="298" t="s">
        <v>2160</v>
      </c>
      <c r="K570" s="299"/>
      <c r="L570" s="300"/>
    </row>
    <row r="571" spans="1:12" ht="15" customHeight="1">
      <c r="A571" s="129" t="s">
        <v>2161</v>
      </c>
      <c r="B571" s="129" t="s">
        <v>2287</v>
      </c>
      <c r="C571" s="73">
        <v>2.4E-2</v>
      </c>
      <c r="D571" s="1" t="s">
        <v>2162</v>
      </c>
      <c r="E571" s="91">
        <f>G571+I571+K571</f>
        <v>226122</v>
      </c>
      <c r="F571" s="91">
        <f>H571+J571+L571</f>
        <v>5426</v>
      </c>
      <c r="G571" s="91">
        <f>노임!D13</f>
        <v>226122</v>
      </c>
      <c r="H571" s="91">
        <f>INT(C571*G571)</f>
        <v>5426</v>
      </c>
      <c r="I571" s="91">
        <f>자재!F298</f>
        <v>0</v>
      </c>
      <c r="J571" s="91">
        <f>INT(C571*I571)</f>
        <v>0</v>
      </c>
      <c r="K571" s="91">
        <v>0</v>
      </c>
      <c r="L571" s="91">
        <f>INT(C571*K571)</f>
        <v>0</v>
      </c>
    </row>
    <row r="572" spans="1:12" ht="15" customHeight="1">
      <c r="A572" s="129" t="s">
        <v>2256</v>
      </c>
      <c r="B572" s="129" t="s">
        <v>2163</v>
      </c>
      <c r="C572" s="73">
        <v>0.03</v>
      </c>
      <c r="D572" s="1"/>
      <c r="E572" s="91">
        <f>G572+I572+K572</f>
        <v>5426</v>
      </c>
      <c r="F572" s="91">
        <f>H572+J572+L572</f>
        <v>162</v>
      </c>
      <c r="G572" s="91">
        <f>J571</f>
        <v>0</v>
      </c>
      <c r="H572" s="91">
        <f>INT(C572*G572)</f>
        <v>0</v>
      </c>
      <c r="I572" s="91"/>
      <c r="J572" s="91">
        <f>INT(C572*I572)</f>
        <v>0</v>
      </c>
      <c r="K572" s="91">
        <f>H571</f>
        <v>5426</v>
      </c>
      <c r="L572" s="91">
        <f>INT(C572*K572)</f>
        <v>162</v>
      </c>
    </row>
    <row r="573" spans="1:12" ht="15" customHeight="1">
      <c r="A573" s="129" t="s">
        <v>617</v>
      </c>
      <c r="B573" s="126"/>
      <c r="C573" s="129"/>
      <c r="D573" s="1"/>
      <c r="E573" s="301"/>
      <c r="F573" s="301">
        <f>H573+J573+L573</f>
        <v>5588</v>
      </c>
      <c r="G573" s="301"/>
      <c r="H573" s="301">
        <f>SUM(H571:H572)</f>
        <v>5426</v>
      </c>
      <c r="I573" s="301"/>
      <c r="J573" s="301">
        <f>SUM(J571:J572)</f>
        <v>0</v>
      </c>
      <c r="K573" s="301"/>
      <c r="L573" s="301">
        <f>SUM(L571:L572)</f>
        <v>162</v>
      </c>
    </row>
    <row r="574" spans="1:12" ht="15" customHeight="1">
      <c r="A574" s="209"/>
      <c r="B574" s="210"/>
      <c r="C574" s="95"/>
      <c r="D574" s="211"/>
      <c r="E574" s="212">
        <f>E570+1</f>
        <v>113</v>
      </c>
      <c r="F574" s="297" t="s">
        <v>2252</v>
      </c>
      <c r="G574" s="95"/>
      <c r="H574" s="298"/>
      <c r="I574" s="299"/>
      <c r="J574" s="298" t="s">
        <v>2253</v>
      </c>
      <c r="K574" s="299"/>
      <c r="L574" s="300"/>
    </row>
    <row r="575" spans="1:12" ht="15" customHeight="1">
      <c r="A575" s="129" t="s">
        <v>27</v>
      </c>
      <c r="B575" s="129" t="s">
        <v>2240</v>
      </c>
      <c r="C575" s="73">
        <v>0.2</v>
      </c>
      <c r="D575" s="1" t="s">
        <v>30</v>
      </c>
      <c r="E575" s="91">
        <f>G575+I575+K575</f>
        <v>172068</v>
      </c>
      <c r="F575" s="91">
        <f>H575+J575+L575</f>
        <v>34413</v>
      </c>
      <c r="G575" s="91">
        <f>노임!D14</f>
        <v>172068</v>
      </c>
      <c r="H575" s="91">
        <f>INT(C575*G575)</f>
        <v>34413</v>
      </c>
      <c r="I575" s="91"/>
      <c r="J575" s="91">
        <f>INT(C575*I575)</f>
        <v>0</v>
      </c>
      <c r="K575" s="91"/>
      <c r="L575" s="91">
        <f>INT(C575*K575)</f>
        <v>0</v>
      </c>
    </row>
    <row r="576" spans="1:12" ht="15" customHeight="1">
      <c r="A576" s="129" t="s">
        <v>617</v>
      </c>
      <c r="B576" s="126"/>
      <c r="C576" s="129"/>
      <c r="D576" s="1"/>
      <c r="E576" s="301"/>
      <c r="F576" s="301">
        <f>H576+J576+L576</f>
        <v>34413</v>
      </c>
      <c r="G576" s="301"/>
      <c r="H576" s="301">
        <f>SUM(H575:H575)</f>
        <v>34413</v>
      </c>
      <c r="I576" s="301"/>
      <c r="J576" s="301">
        <f>SUM(J575:J575)</f>
        <v>0</v>
      </c>
      <c r="K576" s="301"/>
      <c r="L576" s="301">
        <f>SUM(L575:L575)</f>
        <v>0</v>
      </c>
    </row>
    <row r="577" spans="1:15" ht="15" customHeight="1">
      <c r="A577" s="209"/>
      <c r="B577" s="210"/>
      <c r="C577" s="95"/>
      <c r="D577" s="211"/>
      <c r="E577" s="212">
        <f>E574+1</f>
        <v>114</v>
      </c>
      <c r="F577" s="297" t="s">
        <v>2360</v>
      </c>
      <c r="G577" s="95"/>
      <c r="H577" s="298"/>
      <c r="I577" s="299"/>
      <c r="J577" s="298" t="s">
        <v>399</v>
      </c>
      <c r="K577" s="299"/>
      <c r="L577" s="300"/>
    </row>
    <row r="578" spans="1:15" ht="15" customHeight="1">
      <c r="A578" s="129" t="s">
        <v>2357</v>
      </c>
      <c r="B578" s="129" t="s">
        <v>1692</v>
      </c>
      <c r="C578" s="73">
        <v>1</v>
      </c>
      <c r="D578" s="1" t="s">
        <v>250</v>
      </c>
      <c r="E578" s="91">
        <f t="shared" ref="E578:F580" si="83">G578+I578+K578</f>
        <v>5588</v>
      </c>
      <c r="F578" s="91">
        <f t="shared" si="83"/>
        <v>5588</v>
      </c>
      <c r="G578" s="91">
        <f>H573</f>
        <v>5426</v>
      </c>
      <c r="H578" s="91">
        <f>INT(C578*G578)</f>
        <v>5426</v>
      </c>
      <c r="I578" s="91">
        <f>J573</f>
        <v>0</v>
      </c>
      <c r="J578" s="91">
        <f>INT(C578*I578)</f>
        <v>0</v>
      </c>
      <c r="K578" s="91">
        <f>L573</f>
        <v>162</v>
      </c>
      <c r="L578" s="91">
        <f>INT(C578*K578)</f>
        <v>162</v>
      </c>
    </row>
    <row r="579" spans="1:15" ht="15" customHeight="1">
      <c r="A579" s="129" t="s">
        <v>2358</v>
      </c>
      <c r="B579" s="129" t="s">
        <v>1692</v>
      </c>
      <c r="C579" s="73">
        <v>1</v>
      </c>
      <c r="D579" s="1" t="s">
        <v>250</v>
      </c>
      <c r="E579" s="91">
        <f t="shared" si="83"/>
        <v>27201</v>
      </c>
      <c r="F579" s="91">
        <f t="shared" si="83"/>
        <v>27201</v>
      </c>
      <c r="G579" s="91">
        <f>H590</f>
        <v>26409</v>
      </c>
      <c r="H579" s="91">
        <f>INT(C579*G579)</f>
        <v>26409</v>
      </c>
      <c r="I579" s="91">
        <f>J590</f>
        <v>0</v>
      </c>
      <c r="J579" s="91">
        <f>INT(C579*I579)</f>
        <v>0</v>
      </c>
      <c r="K579" s="91">
        <f>L590</f>
        <v>792</v>
      </c>
      <c r="L579" s="91">
        <f>INT(C579*K579)</f>
        <v>792</v>
      </c>
    </row>
    <row r="580" spans="1:15" ht="15" customHeight="1">
      <c r="A580" s="129" t="s">
        <v>2359</v>
      </c>
      <c r="B580" s="129"/>
      <c r="C580" s="73">
        <v>1</v>
      </c>
      <c r="D580" s="1" t="s">
        <v>250</v>
      </c>
      <c r="E580" s="91">
        <f t="shared" si="83"/>
        <v>301326</v>
      </c>
      <c r="F580" s="91">
        <f t="shared" si="83"/>
        <v>301326</v>
      </c>
      <c r="G580" s="91">
        <f>H596</f>
        <v>115549</v>
      </c>
      <c r="H580" s="91">
        <f>INT(C580*G580)</f>
        <v>115549</v>
      </c>
      <c r="I580" s="91">
        <f>J596</f>
        <v>180000</v>
      </c>
      <c r="J580" s="91">
        <f>INT(C580*I580)</f>
        <v>180000</v>
      </c>
      <c r="K580" s="91">
        <f>L596</f>
        <v>5777</v>
      </c>
      <c r="L580" s="91">
        <f>INT(C580*K580)</f>
        <v>5777</v>
      </c>
      <c r="O580" s="88">
        <f>수지예산서!C22</f>
        <v>19793</v>
      </c>
    </row>
    <row r="581" spans="1:15" ht="15" customHeight="1">
      <c r="A581" s="129" t="s">
        <v>617</v>
      </c>
      <c r="B581" s="126"/>
      <c r="C581" s="129"/>
      <c r="D581" s="1"/>
      <c r="E581" s="301"/>
      <c r="F581" s="301">
        <f>H581+J581+L581</f>
        <v>334115</v>
      </c>
      <c r="G581" s="301"/>
      <c r="H581" s="301">
        <f>SUM(H578:H580)</f>
        <v>147384</v>
      </c>
      <c r="I581" s="301"/>
      <c r="J581" s="301">
        <f>SUM(J578:J580)</f>
        <v>180000</v>
      </c>
      <c r="K581" s="301"/>
      <c r="L581" s="301">
        <f>SUM(L578:L580)</f>
        <v>6731</v>
      </c>
    </row>
    <row r="582" spans="1:15" ht="15" customHeight="1">
      <c r="A582" s="209"/>
      <c r="B582" s="210"/>
      <c r="C582" s="95"/>
      <c r="D582" s="211"/>
      <c r="E582" s="212">
        <f>E577+1</f>
        <v>115</v>
      </c>
      <c r="F582" s="297" t="s">
        <v>2255</v>
      </c>
      <c r="G582" s="95"/>
      <c r="H582" s="298"/>
      <c r="I582" s="299"/>
      <c r="J582" s="298" t="s">
        <v>399</v>
      </c>
      <c r="K582" s="299"/>
      <c r="L582" s="300"/>
    </row>
    <row r="583" spans="1:15" ht="15" customHeight="1">
      <c r="A583" s="129" t="s">
        <v>1365</v>
      </c>
      <c r="B583" s="129" t="s">
        <v>2294</v>
      </c>
      <c r="C583" s="73">
        <v>6.0000000000000001E-3</v>
      </c>
      <c r="D583" s="1" t="s">
        <v>30</v>
      </c>
      <c r="E583" s="91">
        <f t="shared" ref="E583:F585" si="84">G583+I583+K583</f>
        <v>226122</v>
      </c>
      <c r="F583" s="91">
        <f t="shared" si="84"/>
        <v>1356</v>
      </c>
      <c r="G583" s="91">
        <f>노임!D13</f>
        <v>226122</v>
      </c>
      <c r="H583" s="91">
        <f>INT(C583*G583)</f>
        <v>1356</v>
      </c>
      <c r="I583" s="91">
        <f>자재!F311</f>
        <v>0</v>
      </c>
      <c r="J583" s="91">
        <f>INT(C583*I583)</f>
        <v>0</v>
      </c>
      <c r="K583" s="91">
        <v>0</v>
      </c>
      <c r="L583" s="91">
        <f>INT(C583*K583)</f>
        <v>0</v>
      </c>
    </row>
    <row r="584" spans="1:15" ht="15" customHeight="1">
      <c r="A584" s="129" t="s">
        <v>2477</v>
      </c>
      <c r="B584" s="129" t="s">
        <v>2478</v>
      </c>
      <c r="C584" s="73">
        <v>1</v>
      </c>
      <c r="D584" s="1" t="s">
        <v>250</v>
      </c>
      <c r="E584" s="91">
        <f t="shared" si="84"/>
        <v>3469</v>
      </c>
      <c r="F584" s="91">
        <f t="shared" si="84"/>
        <v>3469</v>
      </c>
      <c r="G584" s="91"/>
      <c r="H584" s="91"/>
      <c r="I584" s="91">
        <f>자재!F139</f>
        <v>3469</v>
      </c>
      <c r="J584" s="91">
        <f>INT(C584*I584)</f>
        <v>3469</v>
      </c>
      <c r="K584" s="91"/>
      <c r="L584" s="91"/>
    </row>
    <row r="585" spans="1:15" ht="15" customHeight="1">
      <c r="A585" s="129" t="s">
        <v>20</v>
      </c>
      <c r="B585" s="129" t="s">
        <v>2163</v>
      </c>
      <c r="C585" s="73">
        <v>0.03</v>
      </c>
      <c r="D585" s="1"/>
      <c r="E585" s="91">
        <f t="shared" si="84"/>
        <v>1356</v>
      </c>
      <c r="F585" s="91">
        <f t="shared" si="84"/>
        <v>40</v>
      </c>
      <c r="G585" s="91">
        <f>J583</f>
        <v>0</v>
      </c>
      <c r="H585" s="91">
        <f>INT(C585*G585)</f>
        <v>0</v>
      </c>
      <c r="I585" s="91"/>
      <c r="J585" s="91">
        <f>INT(C585*I585)</f>
        <v>0</v>
      </c>
      <c r="K585" s="91">
        <f>H583</f>
        <v>1356</v>
      </c>
      <c r="L585" s="91">
        <f>INT(C585*K585)</f>
        <v>40</v>
      </c>
    </row>
    <row r="586" spans="1:15" ht="15" customHeight="1">
      <c r="A586" s="129" t="s">
        <v>617</v>
      </c>
      <c r="B586" s="126"/>
      <c r="C586" s="129"/>
      <c r="D586" s="1"/>
      <c r="E586" s="301"/>
      <c r="F586" s="301">
        <f>H586+J586+L586</f>
        <v>4865</v>
      </c>
      <c r="G586" s="301"/>
      <c r="H586" s="301">
        <f>SUM(H583:H585)</f>
        <v>1356</v>
      </c>
      <c r="I586" s="301"/>
      <c r="J586" s="301">
        <f>SUM(J583:J585)</f>
        <v>3469</v>
      </c>
      <c r="K586" s="301"/>
      <c r="L586" s="301">
        <f>SUM(L583:L585)</f>
        <v>40</v>
      </c>
    </row>
    <row r="587" spans="1:15" ht="15" customHeight="1">
      <c r="A587" s="209"/>
      <c r="B587" s="210"/>
      <c r="C587" s="95"/>
      <c r="D587" s="211"/>
      <c r="E587" s="212">
        <f>E582+1</f>
        <v>116</v>
      </c>
      <c r="F587" s="297" t="s">
        <v>2355</v>
      </c>
      <c r="G587" s="95"/>
      <c r="H587" s="298"/>
      <c r="I587" s="299"/>
      <c r="J587" s="298" t="s">
        <v>399</v>
      </c>
      <c r="K587" s="299"/>
      <c r="L587" s="300"/>
    </row>
    <row r="588" spans="1:15" ht="15" customHeight="1">
      <c r="A588" s="129" t="s">
        <v>2175</v>
      </c>
      <c r="B588" s="129" t="s">
        <v>2356</v>
      </c>
      <c r="C588" s="73">
        <v>0.12</v>
      </c>
      <c r="D588" s="1" t="s">
        <v>30</v>
      </c>
      <c r="E588" s="91">
        <f>G588+I588+K588</f>
        <v>220081</v>
      </c>
      <c r="F588" s="91">
        <f>H588+J588+L588</f>
        <v>26409</v>
      </c>
      <c r="G588" s="91">
        <f>노임!D8</f>
        <v>220081</v>
      </c>
      <c r="H588" s="91">
        <f>INT(C588*G588)</f>
        <v>26409</v>
      </c>
      <c r="I588" s="91">
        <f>자재!F315</f>
        <v>0</v>
      </c>
      <c r="J588" s="91">
        <f>INT(C588*I588)</f>
        <v>0</v>
      </c>
      <c r="K588" s="91">
        <v>0</v>
      </c>
      <c r="L588" s="91">
        <f>INT(C588*K588)</f>
        <v>0</v>
      </c>
    </row>
    <row r="589" spans="1:15" ht="15" customHeight="1">
      <c r="A589" s="129" t="s">
        <v>20</v>
      </c>
      <c r="B589" s="129" t="s">
        <v>2163</v>
      </c>
      <c r="C589" s="73">
        <v>0.03</v>
      </c>
      <c r="D589" s="1"/>
      <c r="E589" s="91">
        <f>G589+I589+K589</f>
        <v>26409</v>
      </c>
      <c r="F589" s="91">
        <f>H589+J589+L589</f>
        <v>792</v>
      </c>
      <c r="G589" s="91">
        <f>J588</f>
        <v>0</v>
      </c>
      <c r="H589" s="91">
        <f>INT(C589*G589)</f>
        <v>0</v>
      </c>
      <c r="I589" s="91"/>
      <c r="J589" s="91">
        <f>INT(C589*I589)</f>
        <v>0</v>
      </c>
      <c r="K589" s="91">
        <f>H588</f>
        <v>26409</v>
      </c>
      <c r="L589" s="91">
        <f>INT(C589*K589)</f>
        <v>792</v>
      </c>
    </row>
    <row r="590" spans="1:15" ht="15" customHeight="1">
      <c r="A590" s="129" t="s">
        <v>617</v>
      </c>
      <c r="B590" s="126"/>
      <c r="C590" s="129"/>
      <c r="D590" s="1"/>
      <c r="E590" s="301"/>
      <c r="F590" s="301">
        <f>H590+J590+L590</f>
        <v>27201</v>
      </c>
      <c r="G590" s="301"/>
      <c r="H590" s="301">
        <f>SUM(H588:H589)</f>
        <v>26409</v>
      </c>
      <c r="I590" s="301"/>
      <c r="J590" s="301">
        <f>SUM(J588:J589)</f>
        <v>0</v>
      </c>
      <c r="K590" s="301"/>
      <c r="L590" s="301">
        <f>SUM(L588:L589)</f>
        <v>792</v>
      </c>
    </row>
    <row r="591" spans="1:15" ht="15" customHeight="1">
      <c r="A591" s="209"/>
      <c r="B591" s="210"/>
      <c r="C591" s="95"/>
      <c r="D591" s="211"/>
      <c r="E591" s="212">
        <f>E587+1</f>
        <v>117</v>
      </c>
      <c r="F591" s="297" t="s">
        <v>2421</v>
      </c>
      <c r="G591" s="95"/>
      <c r="H591" s="298"/>
      <c r="I591" s="299"/>
      <c r="J591" s="298" t="s">
        <v>399</v>
      </c>
      <c r="K591" s="299"/>
      <c r="L591" s="300"/>
    </row>
    <row r="592" spans="1:15" ht="15" customHeight="1">
      <c r="A592" s="129" t="s">
        <v>939</v>
      </c>
      <c r="B592" s="129" t="s">
        <v>2288</v>
      </c>
      <c r="C592" s="73">
        <v>0.26</v>
      </c>
      <c r="D592" s="1" t="s">
        <v>250</v>
      </c>
      <c r="E592" s="91">
        <f t="shared" ref="E592:F595" si="85">G592+I592+K592</f>
        <v>272354</v>
      </c>
      <c r="F592" s="91">
        <f t="shared" si="85"/>
        <v>70812</v>
      </c>
      <c r="G592" s="91">
        <f>노임!B13</f>
        <v>272354</v>
      </c>
      <c r="H592" s="91">
        <f>INT(C592*G592)</f>
        <v>70812</v>
      </c>
      <c r="I592" s="91">
        <v>0</v>
      </c>
      <c r="J592" s="91">
        <f>INT(C592*I592)</f>
        <v>0</v>
      </c>
      <c r="K592" s="91"/>
      <c r="L592" s="91">
        <f>INT(C592*K592)</f>
        <v>0</v>
      </c>
    </row>
    <row r="593" spans="1:12" ht="15" customHeight="1">
      <c r="A593" s="129" t="s">
        <v>27</v>
      </c>
      <c r="B593" s="129" t="s">
        <v>2289</v>
      </c>
      <c r="C593" s="73">
        <v>0.26</v>
      </c>
      <c r="D593" s="1" t="s">
        <v>30</v>
      </c>
      <c r="E593" s="91">
        <f t="shared" si="85"/>
        <v>172068</v>
      </c>
      <c r="F593" s="91">
        <f t="shared" si="85"/>
        <v>44737</v>
      </c>
      <c r="G593" s="91">
        <f>노임!D14</f>
        <v>172068</v>
      </c>
      <c r="H593" s="91">
        <f>INT(C593*G593)</f>
        <v>44737</v>
      </c>
      <c r="I593" s="91"/>
      <c r="J593" s="91">
        <f>INT(C593*I593)</f>
        <v>0</v>
      </c>
      <c r="K593" s="91"/>
      <c r="L593" s="91">
        <f>INT(C593*K593)</f>
        <v>0</v>
      </c>
    </row>
    <row r="594" spans="1:12" ht="15" customHeight="1">
      <c r="A594" s="129" t="s">
        <v>2353</v>
      </c>
      <c r="B594" s="129" t="s">
        <v>2354</v>
      </c>
      <c r="C594" s="763">
        <v>60</v>
      </c>
      <c r="D594" s="1" t="s">
        <v>2348</v>
      </c>
      <c r="E594" s="91">
        <f t="shared" si="85"/>
        <v>3000</v>
      </c>
      <c r="F594" s="91">
        <f t="shared" si="85"/>
        <v>180000</v>
      </c>
      <c r="G594" s="91">
        <v>0</v>
      </c>
      <c r="H594" s="91">
        <f>INT(C594*G594)</f>
        <v>0</v>
      </c>
      <c r="I594" s="91">
        <f>자재!F278</f>
        <v>3000</v>
      </c>
      <c r="J594" s="91">
        <f>INT(C594*I594)</f>
        <v>180000</v>
      </c>
      <c r="K594" s="91"/>
      <c r="L594" s="91">
        <f>INT(C594*K594)</f>
        <v>0</v>
      </c>
    </row>
    <row r="595" spans="1:12" ht="15" customHeight="1">
      <c r="A595" s="129" t="s">
        <v>714</v>
      </c>
      <c r="B595" s="129" t="s">
        <v>425</v>
      </c>
      <c r="C595" s="73">
        <v>0.05</v>
      </c>
      <c r="D595" s="1" t="s">
        <v>416</v>
      </c>
      <c r="E595" s="91">
        <f t="shared" si="85"/>
        <v>115549</v>
      </c>
      <c r="F595" s="91">
        <f t="shared" si="85"/>
        <v>5777</v>
      </c>
      <c r="G595" s="91">
        <v>0</v>
      </c>
      <c r="H595" s="91">
        <f>INT(C595*G595)</f>
        <v>0</v>
      </c>
      <c r="I595" s="91">
        <v>0</v>
      </c>
      <c r="J595" s="91">
        <f>INT(C595*I595)</f>
        <v>0</v>
      </c>
      <c r="K595" s="91">
        <f>F592+F593</f>
        <v>115549</v>
      </c>
      <c r="L595" s="91">
        <f>INT(C595*K595)</f>
        <v>5777</v>
      </c>
    </row>
    <row r="596" spans="1:12" ht="15" customHeight="1">
      <c r="A596" s="129" t="s">
        <v>617</v>
      </c>
      <c r="B596" s="126"/>
      <c r="C596" s="129"/>
      <c r="D596" s="1"/>
      <c r="E596" s="301"/>
      <c r="F596" s="301">
        <f>H596+J596+L596</f>
        <v>301326</v>
      </c>
      <c r="G596" s="301"/>
      <c r="H596" s="301">
        <f>SUM(H592:H595)</f>
        <v>115549</v>
      </c>
      <c r="I596" s="301"/>
      <c r="J596" s="301">
        <f>SUM(J592:J595)</f>
        <v>180000</v>
      </c>
      <c r="K596" s="301"/>
      <c r="L596" s="301">
        <f>SUM(L592:L595)</f>
        <v>5777</v>
      </c>
    </row>
    <row r="597" spans="1:12" ht="15" customHeight="1">
      <c r="A597" s="209"/>
      <c r="B597" s="210"/>
      <c r="C597" s="95"/>
      <c r="D597" s="211"/>
      <c r="E597" s="212">
        <f>E591+1</f>
        <v>118</v>
      </c>
      <c r="F597" s="297" t="s">
        <v>2380</v>
      </c>
      <c r="G597" s="95"/>
      <c r="H597" s="298"/>
      <c r="I597" s="299"/>
      <c r="J597" s="298" t="s">
        <v>1053</v>
      </c>
      <c r="K597" s="299"/>
      <c r="L597" s="300"/>
    </row>
    <row r="598" spans="1:12" ht="15" customHeight="1">
      <c r="A598" s="129" t="s">
        <v>2365</v>
      </c>
      <c r="B598" s="129" t="s">
        <v>2362</v>
      </c>
      <c r="C598" s="73">
        <v>0.05</v>
      </c>
      <c r="D598" s="1" t="s">
        <v>30</v>
      </c>
      <c r="E598" s="91">
        <f t="shared" ref="E598:F603" si="86">G598+I598+K598</f>
        <v>172068</v>
      </c>
      <c r="F598" s="91">
        <f t="shared" si="86"/>
        <v>8603</v>
      </c>
      <c r="G598" s="91">
        <f>노임!D14</f>
        <v>172068</v>
      </c>
      <c r="H598" s="91">
        <f t="shared" ref="H598:H603" si="87">INT(C598*G598)</f>
        <v>8603</v>
      </c>
      <c r="I598" s="91">
        <v>0</v>
      </c>
      <c r="J598" s="91">
        <f t="shared" ref="J598:J603" si="88">INT(C598*I598)</f>
        <v>0</v>
      </c>
      <c r="K598" s="91"/>
      <c r="L598" s="91">
        <f t="shared" ref="L598:L603" si="89">INT(C598*K598)</f>
        <v>0</v>
      </c>
    </row>
    <row r="599" spans="1:12" ht="15" customHeight="1">
      <c r="A599" s="129" t="s">
        <v>2364</v>
      </c>
      <c r="B599" s="129" t="s">
        <v>2363</v>
      </c>
      <c r="C599" s="73">
        <v>0.02</v>
      </c>
      <c r="D599" s="1" t="s">
        <v>2377</v>
      </c>
      <c r="E599" s="91">
        <f t="shared" si="86"/>
        <v>172068</v>
      </c>
      <c r="F599" s="91">
        <f t="shared" si="86"/>
        <v>3441</v>
      </c>
      <c r="G599" s="91">
        <f>노임!D14</f>
        <v>172068</v>
      </c>
      <c r="H599" s="91">
        <f t="shared" si="87"/>
        <v>3441</v>
      </c>
      <c r="I599" s="91">
        <v>0</v>
      </c>
      <c r="J599" s="91">
        <f t="shared" si="88"/>
        <v>0</v>
      </c>
      <c r="K599" s="91"/>
      <c r="L599" s="91">
        <f t="shared" si="89"/>
        <v>0</v>
      </c>
    </row>
    <row r="600" spans="1:12" ht="15" customHeight="1">
      <c r="A600" s="129" t="s">
        <v>2374</v>
      </c>
      <c r="B600" s="129" t="s">
        <v>2366</v>
      </c>
      <c r="C600" s="73">
        <v>0.01</v>
      </c>
      <c r="D600" s="1" t="s">
        <v>2377</v>
      </c>
      <c r="E600" s="91">
        <f t="shared" si="86"/>
        <v>226122</v>
      </c>
      <c r="F600" s="91">
        <f t="shared" si="86"/>
        <v>2261</v>
      </c>
      <c r="G600" s="91">
        <f>노임!D13</f>
        <v>226122</v>
      </c>
      <c r="H600" s="91">
        <f t="shared" si="87"/>
        <v>2261</v>
      </c>
      <c r="I600" s="91">
        <v>0</v>
      </c>
      <c r="J600" s="91">
        <f t="shared" si="88"/>
        <v>0</v>
      </c>
      <c r="K600" s="91"/>
      <c r="L600" s="91">
        <f t="shared" si="89"/>
        <v>0</v>
      </c>
    </row>
    <row r="601" spans="1:12" ht="15" customHeight="1">
      <c r="A601" s="129" t="s">
        <v>2367</v>
      </c>
      <c r="B601" s="129" t="s">
        <v>2361</v>
      </c>
      <c r="C601" s="421">
        <v>1.4</v>
      </c>
      <c r="D601" s="1" t="s">
        <v>2373</v>
      </c>
      <c r="E601" s="91">
        <f t="shared" si="86"/>
        <v>6000</v>
      </c>
      <c r="F601" s="91">
        <f t="shared" si="86"/>
        <v>8400</v>
      </c>
      <c r="G601" s="91">
        <f>노임!D17</f>
        <v>0</v>
      </c>
      <c r="H601" s="91">
        <f t="shared" si="87"/>
        <v>0</v>
      </c>
      <c r="I601" s="91">
        <v>6000</v>
      </c>
      <c r="J601" s="91">
        <f t="shared" si="88"/>
        <v>8400</v>
      </c>
      <c r="K601" s="91"/>
      <c r="L601" s="91">
        <f t="shared" si="89"/>
        <v>0</v>
      </c>
    </row>
    <row r="602" spans="1:12" ht="15" customHeight="1">
      <c r="A602" s="129" t="s">
        <v>2368</v>
      </c>
      <c r="B602" s="129" t="s">
        <v>2370</v>
      </c>
      <c r="C602" s="73">
        <v>0.191</v>
      </c>
      <c r="D602" s="1" t="s">
        <v>2372</v>
      </c>
      <c r="E602" s="91">
        <f t="shared" si="86"/>
        <v>78833</v>
      </c>
      <c r="F602" s="91">
        <f t="shared" si="86"/>
        <v>15055</v>
      </c>
      <c r="G602" s="91">
        <f>중기일람!D9</f>
        <v>57077</v>
      </c>
      <c r="H602" s="91">
        <f t="shared" si="87"/>
        <v>10901</v>
      </c>
      <c r="I602" s="91">
        <f>중기일람!E9</f>
        <v>9246</v>
      </c>
      <c r="J602" s="91">
        <f t="shared" si="88"/>
        <v>1765</v>
      </c>
      <c r="K602" s="91">
        <f>중기일람!F9</f>
        <v>12510</v>
      </c>
      <c r="L602" s="91">
        <f t="shared" si="89"/>
        <v>2389</v>
      </c>
    </row>
    <row r="603" spans="1:12" ht="15" customHeight="1">
      <c r="A603" s="129" t="s">
        <v>2369</v>
      </c>
      <c r="B603" s="129" t="s">
        <v>2371</v>
      </c>
      <c r="C603" s="73">
        <v>0.1</v>
      </c>
      <c r="D603" s="1" t="s">
        <v>151</v>
      </c>
      <c r="E603" s="91">
        <f t="shared" si="86"/>
        <v>119262</v>
      </c>
      <c r="F603" s="91">
        <f t="shared" si="86"/>
        <v>11925</v>
      </c>
      <c r="G603" s="91">
        <f>중기일람!D11</f>
        <v>57077</v>
      </c>
      <c r="H603" s="91">
        <f t="shared" si="87"/>
        <v>5707</v>
      </c>
      <c r="I603" s="91">
        <f>중기일람!E11</f>
        <v>36360</v>
      </c>
      <c r="J603" s="91">
        <f t="shared" si="88"/>
        <v>3636</v>
      </c>
      <c r="K603" s="91">
        <f>중기일람!F11</f>
        <v>25825</v>
      </c>
      <c r="L603" s="91">
        <f t="shared" si="89"/>
        <v>2582</v>
      </c>
    </row>
    <row r="604" spans="1:12" ht="15" customHeight="1">
      <c r="A604" s="129" t="s">
        <v>617</v>
      </c>
      <c r="B604" s="126"/>
      <c r="C604" s="129"/>
      <c r="D604" s="1"/>
      <c r="E604" s="301"/>
      <c r="F604" s="301">
        <f>H604+J604+L604</f>
        <v>49685</v>
      </c>
      <c r="G604" s="301"/>
      <c r="H604" s="301">
        <f>SUM(H598:H603)</f>
        <v>30913</v>
      </c>
      <c r="I604" s="301"/>
      <c r="J604" s="301">
        <f>SUM(J598:J603)</f>
        <v>13801</v>
      </c>
      <c r="K604" s="301"/>
      <c r="L604" s="301">
        <f>SUM(L598:L603)</f>
        <v>4971</v>
      </c>
    </row>
    <row r="605" spans="1:12" ht="15" customHeight="1">
      <c r="A605" s="209"/>
      <c r="B605" s="210"/>
      <c r="C605" s="95"/>
      <c r="D605" s="211"/>
      <c r="E605" s="212">
        <f>E597+1</f>
        <v>119</v>
      </c>
      <c r="F605" s="297" t="s">
        <v>2381</v>
      </c>
      <c r="G605" s="95"/>
      <c r="H605" s="298"/>
      <c r="I605" s="299"/>
      <c r="J605" s="298" t="s">
        <v>1053</v>
      </c>
      <c r="K605" s="299"/>
      <c r="L605" s="300"/>
    </row>
    <row r="606" spans="1:12" ht="15" customHeight="1">
      <c r="A606" s="129" t="s">
        <v>2378</v>
      </c>
      <c r="B606" s="129" t="s">
        <v>2363</v>
      </c>
      <c r="C606" s="73">
        <v>0.02</v>
      </c>
      <c r="D606" s="1" t="s">
        <v>2377</v>
      </c>
      <c r="E606" s="91">
        <f t="shared" ref="E606:F608" si="90">G606+I606+K606</f>
        <v>172068</v>
      </c>
      <c r="F606" s="91">
        <f t="shared" si="90"/>
        <v>3441</v>
      </c>
      <c r="G606" s="91">
        <f>노임!D14</f>
        <v>172068</v>
      </c>
      <c r="H606" s="91">
        <f>INT(C606*G606)</f>
        <v>3441</v>
      </c>
      <c r="I606" s="91">
        <v>0</v>
      </c>
      <c r="J606" s="91">
        <f>INT(C606*I606)</f>
        <v>0</v>
      </c>
      <c r="K606" s="91"/>
      <c r="L606" s="91">
        <f>INT(C606*K606)</f>
        <v>0</v>
      </c>
    </row>
    <row r="607" spans="1:12" ht="15" customHeight="1">
      <c r="A607" s="129" t="s">
        <v>2379</v>
      </c>
      <c r="B607" s="129" t="s">
        <v>2366</v>
      </c>
      <c r="C607" s="73">
        <v>0.01</v>
      </c>
      <c r="D607" s="1" t="s">
        <v>2377</v>
      </c>
      <c r="E607" s="91">
        <f t="shared" si="90"/>
        <v>226122</v>
      </c>
      <c r="F607" s="91">
        <f t="shared" si="90"/>
        <v>2261</v>
      </c>
      <c r="G607" s="91">
        <f>노임!D13</f>
        <v>226122</v>
      </c>
      <c r="H607" s="91">
        <f>INT(C607*G607)</f>
        <v>2261</v>
      </c>
      <c r="I607" s="91">
        <v>0</v>
      </c>
      <c r="J607" s="91">
        <f>INT(C607*I607)</f>
        <v>0</v>
      </c>
      <c r="K607" s="91"/>
      <c r="L607" s="91">
        <f>INT(C607*K607)</f>
        <v>0</v>
      </c>
    </row>
    <row r="608" spans="1:12" ht="15" customHeight="1">
      <c r="A608" s="129" t="s">
        <v>2369</v>
      </c>
      <c r="B608" s="129" t="s">
        <v>2371</v>
      </c>
      <c r="C608" s="73">
        <v>0.1</v>
      </c>
      <c r="D608" s="1" t="s">
        <v>151</v>
      </c>
      <c r="E608" s="91">
        <f t="shared" si="90"/>
        <v>109592</v>
      </c>
      <c r="F608" s="91">
        <f t="shared" si="90"/>
        <v>10958</v>
      </c>
      <c r="G608" s="91">
        <f>중기일람!D19</f>
        <v>57077</v>
      </c>
      <c r="H608" s="91">
        <f>INT(C608*G608)</f>
        <v>5707</v>
      </c>
      <c r="I608" s="91">
        <f>중기일람!E19</f>
        <v>28611</v>
      </c>
      <c r="J608" s="91">
        <f>INT(C608*I608)</f>
        <v>2861</v>
      </c>
      <c r="K608" s="91">
        <f>중기일람!F19</f>
        <v>23904</v>
      </c>
      <c r="L608" s="91">
        <f>INT(C608*K608)</f>
        <v>2390</v>
      </c>
    </row>
    <row r="609" spans="1:13" ht="15" customHeight="1">
      <c r="A609" s="129" t="s">
        <v>617</v>
      </c>
      <c r="B609" s="126"/>
      <c r="C609" s="129"/>
      <c r="D609" s="1"/>
      <c r="E609" s="301"/>
      <c r="F609" s="301">
        <f>H609+J609+L609</f>
        <v>16660</v>
      </c>
      <c r="G609" s="301"/>
      <c r="H609" s="301">
        <f>SUM(H606:H608)</f>
        <v>11409</v>
      </c>
      <c r="I609" s="301"/>
      <c r="J609" s="301">
        <f>SUM(J606:J608)</f>
        <v>2861</v>
      </c>
      <c r="K609" s="301"/>
      <c r="L609" s="301">
        <f>SUM(L606:L608)</f>
        <v>2390</v>
      </c>
    </row>
    <row r="610" spans="1:13" ht="15" customHeight="1">
      <c r="A610" s="209"/>
      <c r="B610" s="210"/>
      <c r="C610" s="95"/>
      <c r="D610" s="211"/>
      <c r="E610" s="212">
        <f>E605+1</f>
        <v>120</v>
      </c>
      <c r="F610" s="297" t="s">
        <v>2417</v>
      </c>
      <c r="G610" s="95"/>
      <c r="H610" s="298"/>
      <c r="I610" s="299"/>
      <c r="J610" s="298" t="s">
        <v>2418</v>
      </c>
      <c r="K610" s="299"/>
      <c r="L610" s="300"/>
    </row>
    <row r="611" spans="1:13" ht="15" customHeight="1">
      <c r="A611" s="129" t="s">
        <v>17</v>
      </c>
      <c r="B611" s="129" t="s">
        <v>1692</v>
      </c>
      <c r="C611" s="73">
        <v>0.51900000000000002</v>
      </c>
      <c r="D611" s="1" t="s">
        <v>30</v>
      </c>
      <c r="E611" s="91">
        <f>G611+I611+K611</f>
        <v>278326</v>
      </c>
      <c r="F611" s="91">
        <f>H611+J611+L611</f>
        <v>144451</v>
      </c>
      <c r="G611" s="91">
        <f>노임!F11</f>
        <v>278326</v>
      </c>
      <c r="H611" s="91">
        <f>INT(C611*G611)</f>
        <v>144451</v>
      </c>
      <c r="I611" s="91">
        <v>0</v>
      </c>
      <c r="J611" s="91">
        <f>INT(C611*I611)</f>
        <v>0</v>
      </c>
      <c r="K611" s="91"/>
      <c r="L611" s="91">
        <f>INT(C611*K611)</f>
        <v>0</v>
      </c>
    </row>
    <row r="612" spans="1:13" ht="15" customHeight="1">
      <c r="A612" s="129" t="s">
        <v>714</v>
      </c>
      <c r="B612" s="129" t="s">
        <v>2419</v>
      </c>
      <c r="C612" s="73">
        <v>0.03</v>
      </c>
      <c r="D612" s="1" t="s">
        <v>2420</v>
      </c>
      <c r="E612" s="91">
        <f>G612+I612+K612</f>
        <v>144451</v>
      </c>
      <c r="F612" s="91">
        <f>H612+J612+L612</f>
        <v>4333</v>
      </c>
      <c r="G612" s="91">
        <f>중기일람!D24</f>
        <v>0</v>
      </c>
      <c r="H612" s="91">
        <f>INT(C612*G612)</f>
        <v>0</v>
      </c>
      <c r="I612" s="91">
        <v>0</v>
      </c>
      <c r="J612" s="91">
        <f>INT(C612*I612)</f>
        <v>0</v>
      </c>
      <c r="K612" s="91">
        <f>F611</f>
        <v>144451</v>
      </c>
      <c r="L612" s="91">
        <f>INT(C612*K612)</f>
        <v>4333</v>
      </c>
    </row>
    <row r="613" spans="1:13" ht="15" customHeight="1">
      <c r="A613" s="129" t="s">
        <v>617</v>
      </c>
      <c r="B613" s="126"/>
      <c r="C613" s="129"/>
      <c r="D613" s="1"/>
      <c r="E613" s="301"/>
      <c r="F613" s="301">
        <f>H613+J613+L613</f>
        <v>148784</v>
      </c>
      <c r="G613" s="301"/>
      <c r="H613" s="301">
        <f>SUM(H611:H612)</f>
        <v>144451</v>
      </c>
      <c r="I613" s="301"/>
      <c r="J613" s="301">
        <f>SUM(J611:J612)</f>
        <v>0</v>
      </c>
      <c r="K613" s="301"/>
      <c r="L613" s="301">
        <f>SUM(L611:L612)</f>
        <v>4333</v>
      </c>
    </row>
    <row r="614" spans="1:13" ht="15" customHeight="1">
      <c r="A614" s="209"/>
      <c r="B614" s="210"/>
      <c r="C614" s="95"/>
      <c r="D614" s="211"/>
      <c r="E614" s="212">
        <f>E610+1</f>
        <v>121</v>
      </c>
      <c r="F614" s="297" t="s">
        <v>2424</v>
      </c>
      <c r="G614" s="95"/>
      <c r="H614" s="298"/>
      <c r="I614" s="299"/>
      <c r="J614" s="298" t="s">
        <v>1652</v>
      </c>
      <c r="K614" s="299"/>
      <c r="L614" s="300"/>
    </row>
    <row r="615" spans="1:13" s="818" customFormat="1" ht="16.5" customHeight="1">
      <c r="A615" s="824" t="s">
        <v>2434</v>
      </c>
      <c r="B615" s="825" t="s">
        <v>2435</v>
      </c>
      <c r="C615" s="819">
        <v>45.21</v>
      </c>
      <c r="D615" s="826" t="s">
        <v>1018</v>
      </c>
      <c r="E615" s="825">
        <f t="shared" ref="E615:F622" si="91">G615+I615+K615</f>
        <v>1431</v>
      </c>
      <c r="F615" s="820">
        <f t="shared" si="91"/>
        <v>64695</v>
      </c>
      <c r="G615" s="820"/>
      <c r="H615" s="820"/>
      <c r="I615" s="820">
        <v>1431</v>
      </c>
      <c r="J615" s="820">
        <f t="shared" ref="J615:J622" si="92">INT(I615*C615)</f>
        <v>64695</v>
      </c>
      <c r="K615" s="820"/>
      <c r="L615" s="820"/>
      <c r="M615" s="832" t="s">
        <v>2436</v>
      </c>
    </row>
    <row r="616" spans="1:13" s="818" customFormat="1" ht="16.5" customHeight="1">
      <c r="A616" s="827" t="s">
        <v>2437</v>
      </c>
      <c r="B616" s="828" t="s">
        <v>2438</v>
      </c>
      <c r="C616" s="821">
        <v>7.54</v>
      </c>
      <c r="D616" s="829" t="s">
        <v>990</v>
      </c>
      <c r="E616" s="829">
        <f t="shared" si="91"/>
        <v>1215</v>
      </c>
      <c r="F616" s="822">
        <f t="shared" si="91"/>
        <v>9161</v>
      </c>
      <c r="G616" s="822"/>
      <c r="H616" s="822"/>
      <c r="I616" s="822">
        <v>1215</v>
      </c>
      <c r="J616" s="822">
        <f t="shared" si="92"/>
        <v>9161</v>
      </c>
      <c r="K616" s="822"/>
      <c r="L616" s="822"/>
      <c r="M616" s="832" t="s">
        <v>2439</v>
      </c>
    </row>
    <row r="617" spans="1:13" s="818" customFormat="1" ht="16.5" customHeight="1">
      <c r="A617" s="827" t="s">
        <v>2437</v>
      </c>
      <c r="B617" s="828" t="s">
        <v>2440</v>
      </c>
      <c r="C617" s="821">
        <v>5.65</v>
      </c>
      <c r="D617" s="829" t="s">
        <v>1018</v>
      </c>
      <c r="E617" s="826">
        <f t="shared" si="91"/>
        <v>1215</v>
      </c>
      <c r="F617" s="822">
        <f t="shared" si="91"/>
        <v>6864</v>
      </c>
      <c r="G617" s="823"/>
      <c r="H617" s="823"/>
      <c r="I617" s="823">
        <v>1215</v>
      </c>
      <c r="J617" s="822">
        <f t="shared" si="92"/>
        <v>6864</v>
      </c>
      <c r="K617" s="823"/>
      <c r="L617" s="823"/>
      <c r="M617" s="832" t="s">
        <v>2439</v>
      </c>
    </row>
    <row r="618" spans="1:13" s="818" customFormat="1" ht="16.5" customHeight="1">
      <c r="A618" s="827" t="s">
        <v>2441</v>
      </c>
      <c r="B618" s="829" t="s">
        <v>2442</v>
      </c>
      <c r="C618" s="821">
        <v>11.96</v>
      </c>
      <c r="D618" s="829" t="s">
        <v>1018</v>
      </c>
      <c r="E618" s="826">
        <f t="shared" si="91"/>
        <v>1250</v>
      </c>
      <c r="F618" s="822">
        <f t="shared" si="91"/>
        <v>14950</v>
      </c>
      <c r="G618" s="822"/>
      <c r="H618" s="822"/>
      <c r="I618" s="822">
        <v>1250</v>
      </c>
      <c r="J618" s="822">
        <f t="shared" si="92"/>
        <v>14950</v>
      </c>
      <c r="K618" s="822"/>
      <c r="L618" s="822"/>
      <c r="M618" s="832" t="s">
        <v>2443</v>
      </c>
    </row>
    <row r="619" spans="1:13" s="818" customFormat="1" ht="16.5" customHeight="1">
      <c r="A619" s="827" t="s">
        <v>2428</v>
      </c>
      <c r="B619" s="828" t="s">
        <v>2429</v>
      </c>
      <c r="C619" s="821">
        <v>6</v>
      </c>
      <c r="D619" s="829" t="s">
        <v>1017</v>
      </c>
      <c r="E619" s="826">
        <f t="shared" si="91"/>
        <v>454</v>
      </c>
      <c r="F619" s="820">
        <f t="shared" si="91"/>
        <v>2724</v>
      </c>
      <c r="G619" s="823"/>
      <c r="H619" s="823"/>
      <c r="I619" s="823">
        <v>454</v>
      </c>
      <c r="J619" s="822">
        <f t="shared" si="92"/>
        <v>2724</v>
      </c>
      <c r="K619" s="823"/>
      <c r="L619" s="823"/>
      <c r="M619" s="832" t="s">
        <v>2430</v>
      </c>
    </row>
    <row r="620" spans="1:13" s="818" customFormat="1" ht="16.5" customHeight="1">
      <c r="A620" s="827" t="s">
        <v>2444</v>
      </c>
      <c r="B620" s="829" t="s">
        <v>2426</v>
      </c>
      <c r="C620" s="821">
        <v>1</v>
      </c>
      <c r="D620" s="829" t="s">
        <v>1321</v>
      </c>
      <c r="E620" s="829">
        <f t="shared" si="91"/>
        <v>49020</v>
      </c>
      <c r="F620" s="822">
        <f t="shared" si="91"/>
        <v>49020</v>
      </c>
      <c r="G620" s="822"/>
      <c r="H620" s="822"/>
      <c r="I620" s="822">
        <v>49020</v>
      </c>
      <c r="J620" s="822">
        <f t="shared" si="92"/>
        <v>49020</v>
      </c>
      <c r="K620" s="822"/>
      <c r="L620" s="822"/>
      <c r="M620" s="832" t="s">
        <v>2427</v>
      </c>
    </row>
    <row r="621" spans="1:13" s="818" customFormat="1" ht="16.5" customHeight="1">
      <c r="A621" s="824" t="s">
        <v>2445</v>
      </c>
      <c r="B621" s="825" t="s">
        <v>2446</v>
      </c>
      <c r="C621" s="819">
        <v>1.2</v>
      </c>
      <c r="D621" s="826" t="s">
        <v>640</v>
      </c>
      <c r="E621" s="826">
        <f t="shared" si="91"/>
        <v>4764</v>
      </c>
      <c r="F621" s="820">
        <f t="shared" si="91"/>
        <v>5716</v>
      </c>
      <c r="G621" s="820"/>
      <c r="H621" s="820"/>
      <c r="I621" s="830">
        <v>4764</v>
      </c>
      <c r="J621" s="831">
        <f t="shared" si="92"/>
        <v>5716</v>
      </c>
      <c r="K621" s="830"/>
      <c r="L621" s="830"/>
      <c r="M621" s="833" t="s">
        <v>2447</v>
      </c>
    </row>
    <row r="622" spans="1:13" s="818" customFormat="1" ht="16.5" customHeight="1">
      <c r="A622" s="827" t="s">
        <v>2431</v>
      </c>
      <c r="B622" s="828" t="s">
        <v>2432</v>
      </c>
      <c r="C622" s="821">
        <f>C618+C617+C616+C615</f>
        <v>70.36</v>
      </c>
      <c r="D622" s="829" t="s">
        <v>1018</v>
      </c>
      <c r="E622" s="829">
        <f t="shared" si="91"/>
        <v>7138</v>
      </c>
      <c r="F622" s="822">
        <f t="shared" si="91"/>
        <v>502228</v>
      </c>
      <c r="G622" s="823">
        <v>6810</v>
      </c>
      <c r="H622" s="823">
        <f>INT(G622*C622)</f>
        <v>479151</v>
      </c>
      <c r="I622" s="823">
        <v>107</v>
      </c>
      <c r="J622" s="823">
        <f t="shared" si="92"/>
        <v>7528</v>
      </c>
      <c r="K622" s="823">
        <v>221</v>
      </c>
      <c r="L622" s="823">
        <f>INT(K622*C622)</f>
        <v>15549</v>
      </c>
      <c r="M622" s="832" t="s">
        <v>2433</v>
      </c>
    </row>
    <row r="623" spans="1:13" s="818" customFormat="1" ht="16.5" customHeight="1">
      <c r="A623" s="827" t="s">
        <v>617</v>
      </c>
      <c r="B623" s="829"/>
      <c r="C623" s="829"/>
      <c r="D623" s="829"/>
      <c r="E623" s="829"/>
      <c r="F623" s="822">
        <f>SUM(F615:F622)</f>
        <v>655358</v>
      </c>
      <c r="G623" s="822"/>
      <c r="H623" s="822">
        <f>SUM(H620:H622)</f>
        <v>479151</v>
      </c>
      <c r="I623" s="822"/>
      <c r="J623" s="822">
        <f>SUM(J615:J622)</f>
        <v>160658</v>
      </c>
      <c r="K623" s="822"/>
      <c r="L623" s="822">
        <f>SUM(L620:L622)</f>
        <v>15549</v>
      </c>
      <c r="M623" s="832"/>
    </row>
    <row r="624" spans="1:13" ht="15" customHeight="1">
      <c r="A624" s="209"/>
      <c r="B624" s="210"/>
      <c r="C624" s="95"/>
      <c r="D624" s="211"/>
      <c r="E624" s="212">
        <f>E614+1</f>
        <v>122</v>
      </c>
      <c r="F624" s="297" t="s">
        <v>2425</v>
      </c>
      <c r="G624" s="95"/>
      <c r="H624" s="298"/>
      <c r="I624" s="299"/>
      <c r="J624" s="298" t="s">
        <v>1652</v>
      </c>
      <c r="K624" s="299"/>
      <c r="L624" s="300"/>
      <c r="M624" s="834"/>
    </row>
    <row r="625" spans="1:13" s="818" customFormat="1" ht="16.5" customHeight="1">
      <c r="A625" s="824" t="s">
        <v>2434</v>
      </c>
      <c r="B625" s="825" t="s">
        <v>2435</v>
      </c>
      <c r="C625" s="819">
        <v>20.64</v>
      </c>
      <c r="D625" s="826" t="s">
        <v>1018</v>
      </c>
      <c r="E625" s="825">
        <f t="shared" ref="E625:E632" si="93">G625+I625+K625</f>
        <v>1431</v>
      </c>
      <c r="F625" s="820">
        <f t="shared" ref="F625:F632" si="94">H625+J625+L625</f>
        <v>29535</v>
      </c>
      <c r="G625" s="820"/>
      <c r="H625" s="820"/>
      <c r="I625" s="820">
        <v>1431</v>
      </c>
      <c r="J625" s="820">
        <f t="shared" ref="J625:J632" si="95">INT(I625*C625)</f>
        <v>29535</v>
      </c>
      <c r="K625" s="820"/>
      <c r="L625" s="820"/>
      <c r="M625" s="832" t="s">
        <v>2436</v>
      </c>
    </row>
    <row r="626" spans="1:13" s="818" customFormat="1" ht="16.5" customHeight="1">
      <c r="A626" s="827" t="s">
        <v>2437</v>
      </c>
      <c r="B626" s="828" t="s">
        <v>2438</v>
      </c>
      <c r="C626" s="821">
        <v>7.54</v>
      </c>
      <c r="D626" s="829" t="s">
        <v>990</v>
      </c>
      <c r="E626" s="829">
        <f t="shared" si="93"/>
        <v>1215</v>
      </c>
      <c r="F626" s="822">
        <f t="shared" si="94"/>
        <v>9161</v>
      </c>
      <c r="G626" s="822"/>
      <c r="H626" s="822"/>
      <c r="I626" s="822">
        <v>1215</v>
      </c>
      <c r="J626" s="822">
        <f t="shared" si="95"/>
        <v>9161</v>
      </c>
      <c r="K626" s="822"/>
      <c r="L626" s="822"/>
      <c r="M626" s="832" t="s">
        <v>2439</v>
      </c>
    </row>
    <row r="627" spans="1:13" s="818" customFormat="1" ht="16.5" customHeight="1">
      <c r="A627" s="827" t="s">
        <v>2437</v>
      </c>
      <c r="B627" s="828" t="s">
        <v>2440</v>
      </c>
      <c r="C627" s="821">
        <v>5.65</v>
      </c>
      <c r="D627" s="829" t="s">
        <v>1018</v>
      </c>
      <c r="E627" s="826">
        <f t="shared" si="93"/>
        <v>1215</v>
      </c>
      <c r="F627" s="822">
        <f t="shared" si="94"/>
        <v>6864</v>
      </c>
      <c r="G627" s="823"/>
      <c r="H627" s="823"/>
      <c r="I627" s="823">
        <v>1215</v>
      </c>
      <c r="J627" s="822">
        <f t="shared" si="95"/>
        <v>6864</v>
      </c>
      <c r="K627" s="823"/>
      <c r="L627" s="823"/>
      <c r="M627" s="832" t="s">
        <v>2439</v>
      </c>
    </row>
    <row r="628" spans="1:13" s="818" customFormat="1" ht="16.5" customHeight="1">
      <c r="A628" s="827" t="s">
        <v>2441</v>
      </c>
      <c r="B628" s="829" t="s">
        <v>2442</v>
      </c>
      <c r="C628" s="821">
        <v>11.29</v>
      </c>
      <c r="D628" s="829" t="s">
        <v>1018</v>
      </c>
      <c r="E628" s="826">
        <f t="shared" si="93"/>
        <v>1250</v>
      </c>
      <c r="F628" s="822">
        <f t="shared" si="94"/>
        <v>14112</v>
      </c>
      <c r="G628" s="822"/>
      <c r="H628" s="822"/>
      <c r="I628" s="822">
        <v>1250</v>
      </c>
      <c r="J628" s="822">
        <f t="shared" si="95"/>
        <v>14112</v>
      </c>
      <c r="K628" s="822"/>
      <c r="L628" s="822"/>
      <c r="M628" s="832" t="s">
        <v>2443</v>
      </c>
    </row>
    <row r="629" spans="1:13" s="818" customFormat="1" ht="16.5" customHeight="1">
      <c r="A629" s="827" t="s">
        <v>2428</v>
      </c>
      <c r="B629" s="828" t="s">
        <v>2429</v>
      </c>
      <c r="C629" s="821">
        <v>4</v>
      </c>
      <c r="D629" s="829" t="s">
        <v>1017</v>
      </c>
      <c r="E629" s="826">
        <f t="shared" si="93"/>
        <v>454</v>
      </c>
      <c r="F629" s="820">
        <f t="shared" si="94"/>
        <v>1816</v>
      </c>
      <c r="G629" s="823"/>
      <c r="H629" s="823"/>
      <c r="I629" s="823">
        <v>454</v>
      </c>
      <c r="J629" s="822">
        <f t="shared" si="95"/>
        <v>1816</v>
      </c>
      <c r="K629" s="823"/>
      <c r="L629" s="823"/>
      <c r="M629" s="832" t="s">
        <v>2430</v>
      </c>
    </row>
    <row r="630" spans="1:13" s="818" customFormat="1" ht="16.5" customHeight="1">
      <c r="A630" s="827" t="s">
        <v>2444</v>
      </c>
      <c r="B630" s="829" t="s">
        <v>2426</v>
      </c>
      <c r="C630" s="821">
        <v>1</v>
      </c>
      <c r="D630" s="829" t="s">
        <v>1321</v>
      </c>
      <c r="E630" s="829">
        <f t="shared" si="93"/>
        <v>49020</v>
      </c>
      <c r="F630" s="822">
        <f t="shared" si="94"/>
        <v>49020</v>
      </c>
      <c r="G630" s="822"/>
      <c r="H630" s="822"/>
      <c r="I630" s="822">
        <v>49020</v>
      </c>
      <c r="J630" s="822">
        <f t="shared" si="95"/>
        <v>49020</v>
      </c>
      <c r="K630" s="822"/>
      <c r="L630" s="822"/>
      <c r="M630" s="832" t="s">
        <v>2427</v>
      </c>
    </row>
    <row r="631" spans="1:13" s="818" customFormat="1" ht="16.5" customHeight="1">
      <c r="A631" s="824" t="s">
        <v>2445</v>
      </c>
      <c r="B631" s="825" t="s">
        <v>2446</v>
      </c>
      <c r="C631" s="819">
        <v>1.2</v>
      </c>
      <c r="D631" s="826" t="s">
        <v>640</v>
      </c>
      <c r="E631" s="826">
        <f t="shared" si="93"/>
        <v>4764</v>
      </c>
      <c r="F631" s="820">
        <f t="shared" si="94"/>
        <v>5716</v>
      </c>
      <c r="G631" s="820"/>
      <c r="H631" s="820"/>
      <c r="I631" s="830">
        <v>4764</v>
      </c>
      <c r="J631" s="831">
        <f t="shared" si="95"/>
        <v>5716</v>
      </c>
      <c r="K631" s="830"/>
      <c r="L631" s="830"/>
      <c r="M631" s="833" t="s">
        <v>2447</v>
      </c>
    </row>
    <row r="632" spans="1:13" s="818" customFormat="1" ht="16.5" customHeight="1">
      <c r="A632" s="827" t="s">
        <v>2431</v>
      </c>
      <c r="B632" s="828" t="s">
        <v>2432</v>
      </c>
      <c r="C632" s="821">
        <f>C628+C627+C626+C625</f>
        <v>45.12</v>
      </c>
      <c r="D632" s="829" t="s">
        <v>1018</v>
      </c>
      <c r="E632" s="829">
        <f t="shared" si="93"/>
        <v>7138</v>
      </c>
      <c r="F632" s="822">
        <f t="shared" si="94"/>
        <v>322065</v>
      </c>
      <c r="G632" s="823">
        <f>G622</f>
        <v>6810</v>
      </c>
      <c r="H632" s="823">
        <f>INT(G632*C632)</f>
        <v>307267</v>
      </c>
      <c r="I632" s="823">
        <f>I622</f>
        <v>107</v>
      </c>
      <c r="J632" s="823">
        <f t="shared" si="95"/>
        <v>4827</v>
      </c>
      <c r="K632" s="823">
        <f>K622</f>
        <v>221</v>
      </c>
      <c r="L632" s="823">
        <f>INT(K632*C632)</f>
        <v>9971</v>
      </c>
      <c r="M632" s="832" t="s">
        <v>2433</v>
      </c>
    </row>
    <row r="633" spans="1:13" s="818" customFormat="1" ht="16.5" customHeight="1">
      <c r="A633" s="827" t="s">
        <v>617</v>
      </c>
      <c r="B633" s="829"/>
      <c r="C633" s="829"/>
      <c r="D633" s="829"/>
      <c r="E633" s="829"/>
      <c r="F633" s="822">
        <f>SUM(F625:F632)</f>
        <v>438289</v>
      </c>
      <c r="G633" s="822"/>
      <c r="H633" s="822">
        <f>SUM(H630:H632)</f>
        <v>307267</v>
      </c>
      <c r="I633" s="822"/>
      <c r="J633" s="822">
        <f>SUM(J625:J632)</f>
        <v>121051</v>
      </c>
      <c r="K633" s="822"/>
      <c r="L633" s="822">
        <f>SUM(L630:L632)</f>
        <v>9971</v>
      </c>
      <c r="M633" s="832"/>
    </row>
    <row r="634" spans="1:13" ht="15" customHeight="1">
      <c r="A634" s="209"/>
      <c r="B634" s="210"/>
      <c r="C634" s="95"/>
      <c r="D634" s="211"/>
      <c r="E634" s="212">
        <f>E624+1</f>
        <v>123</v>
      </c>
      <c r="F634" s="297" t="s">
        <v>2476</v>
      </c>
      <c r="G634" s="95"/>
      <c r="H634" s="298"/>
      <c r="I634" s="299"/>
      <c r="J634" s="298" t="s">
        <v>1071</v>
      </c>
      <c r="K634" s="299"/>
      <c r="L634" s="300"/>
    </row>
    <row r="635" spans="1:13" ht="15" customHeight="1">
      <c r="A635" s="130" t="s">
        <v>944</v>
      </c>
      <c r="B635" s="130" t="s">
        <v>2459</v>
      </c>
      <c r="C635" s="421">
        <v>0.06</v>
      </c>
      <c r="D635" s="1" t="s">
        <v>31</v>
      </c>
      <c r="E635" s="301">
        <f t="shared" ref="E635:E640" si="96">G635+I635+K635</f>
        <v>32335</v>
      </c>
      <c r="F635" s="301">
        <f t="shared" ref="F635:F640" si="97">H635+J635+L635</f>
        <v>1938</v>
      </c>
      <c r="G635" s="301">
        <f>G643</f>
        <v>27793</v>
      </c>
      <c r="H635" s="301">
        <f t="shared" ref="H635:H640" si="98">INT(C635*G635)</f>
        <v>1667</v>
      </c>
      <c r="I635" s="301">
        <f>I643</f>
        <v>2395</v>
      </c>
      <c r="J635" s="301">
        <f t="shared" ref="J635:J640" si="99">INT(C635*I635)</f>
        <v>143</v>
      </c>
      <c r="K635" s="301">
        <f t="shared" ref="K635:K640" si="100">K643</f>
        <v>2147</v>
      </c>
      <c r="L635" s="301">
        <f t="shared" ref="L635:L640" si="101">INT(C635*K635)</f>
        <v>128</v>
      </c>
    </row>
    <row r="636" spans="1:13" ht="15" customHeight="1">
      <c r="A636" s="130" t="s">
        <v>2460</v>
      </c>
      <c r="B636" s="130" t="s">
        <v>2461</v>
      </c>
      <c r="C636" s="421">
        <v>0.6</v>
      </c>
      <c r="D636" s="1" t="s">
        <v>250</v>
      </c>
      <c r="E636" s="301">
        <f t="shared" si="96"/>
        <v>36221</v>
      </c>
      <c r="F636" s="301">
        <f t="shared" si="97"/>
        <v>21732</v>
      </c>
      <c r="G636" s="301">
        <f>G644</f>
        <v>32455</v>
      </c>
      <c r="H636" s="301">
        <f t="shared" si="98"/>
        <v>19473</v>
      </c>
      <c r="I636" s="301">
        <f>I644</f>
        <v>2712</v>
      </c>
      <c r="J636" s="301">
        <f t="shared" si="99"/>
        <v>1627</v>
      </c>
      <c r="K636" s="301">
        <f t="shared" si="100"/>
        <v>1054</v>
      </c>
      <c r="L636" s="301">
        <f t="shared" si="101"/>
        <v>632</v>
      </c>
    </row>
    <row r="637" spans="1:13" ht="15" customHeight="1">
      <c r="A637" s="130" t="s">
        <v>2462</v>
      </c>
      <c r="B637" s="130" t="s">
        <v>2463</v>
      </c>
      <c r="C637" s="73">
        <v>3.5000000000000001E-3</v>
      </c>
      <c r="D637" s="1" t="s">
        <v>2464</v>
      </c>
      <c r="E637" s="301">
        <f t="shared" si="96"/>
        <v>1027</v>
      </c>
      <c r="F637" s="301">
        <f t="shared" si="97"/>
        <v>2</v>
      </c>
      <c r="G637" s="301">
        <f>G645</f>
        <v>1028</v>
      </c>
      <c r="H637" s="301">
        <f t="shared" si="98"/>
        <v>3</v>
      </c>
      <c r="I637" s="301">
        <f>I645</f>
        <v>-1</v>
      </c>
      <c r="J637" s="301">
        <f t="shared" si="99"/>
        <v>-1</v>
      </c>
      <c r="K637" s="301">
        <f t="shared" si="100"/>
        <v>0</v>
      </c>
      <c r="L637" s="301">
        <f t="shared" si="101"/>
        <v>0</v>
      </c>
    </row>
    <row r="638" spans="1:13" ht="15" customHeight="1">
      <c r="A638" s="130" t="s">
        <v>229</v>
      </c>
      <c r="B638" s="130" t="s">
        <v>1692</v>
      </c>
      <c r="C638" s="73">
        <v>3.0000000000000001E-3</v>
      </c>
      <c r="D638" s="1" t="s">
        <v>250</v>
      </c>
      <c r="E638" s="301">
        <f t="shared" si="96"/>
        <v>11799</v>
      </c>
      <c r="F638" s="301">
        <f t="shared" si="97"/>
        <v>34</v>
      </c>
      <c r="G638" s="301">
        <f t="shared" ref="G638:I640" si="102">G646</f>
        <v>3164</v>
      </c>
      <c r="H638" s="301">
        <f t="shared" si="98"/>
        <v>9</v>
      </c>
      <c r="I638" s="301">
        <f t="shared" si="102"/>
        <v>8635</v>
      </c>
      <c r="J638" s="301">
        <f t="shared" si="99"/>
        <v>25</v>
      </c>
      <c r="K638" s="301">
        <f t="shared" si="100"/>
        <v>0</v>
      </c>
      <c r="L638" s="301">
        <f t="shared" si="101"/>
        <v>0</v>
      </c>
    </row>
    <row r="639" spans="1:13" ht="15" customHeight="1">
      <c r="A639" s="130" t="s">
        <v>2121</v>
      </c>
      <c r="B639" s="130" t="s">
        <v>2465</v>
      </c>
      <c r="C639" s="73">
        <v>3.0000000000000001E-3</v>
      </c>
      <c r="D639" s="1" t="s">
        <v>640</v>
      </c>
      <c r="E639" s="301">
        <f t="shared" si="96"/>
        <v>55924</v>
      </c>
      <c r="F639" s="301">
        <f t="shared" si="97"/>
        <v>167</v>
      </c>
      <c r="G639" s="301">
        <f t="shared" si="102"/>
        <v>54103</v>
      </c>
      <c r="H639" s="301">
        <f t="shared" si="98"/>
        <v>162</v>
      </c>
      <c r="I639" s="301">
        <f t="shared" si="102"/>
        <v>1821</v>
      </c>
      <c r="J639" s="301">
        <f t="shared" si="99"/>
        <v>5</v>
      </c>
      <c r="K639" s="301">
        <f t="shared" si="100"/>
        <v>0</v>
      </c>
      <c r="L639" s="301">
        <f t="shared" si="101"/>
        <v>0</v>
      </c>
    </row>
    <row r="640" spans="1:13" ht="15" customHeight="1">
      <c r="A640" s="130" t="s">
        <v>2466</v>
      </c>
      <c r="B640" s="130"/>
      <c r="C640" s="421">
        <v>1</v>
      </c>
      <c r="D640" s="1" t="s">
        <v>119</v>
      </c>
      <c r="E640" s="301">
        <f t="shared" si="96"/>
        <v>38397</v>
      </c>
      <c r="F640" s="301">
        <f t="shared" si="97"/>
        <v>38397</v>
      </c>
      <c r="G640" s="301">
        <f t="shared" si="102"/>
        <v>37645</v>
      </c>
      <c r="H640" s="301">
        <f t="shared" si="98"/>
        <v>37645</v>
      </c>
      <c r="I640" s="301">
        <f t="shared" si="102"/>
        <v>0</v>
      </c>
      <c r="J640" s="301">
        <f t="shared" si="99"/>
        <v>0</v>
      </c>
      <c r="K640" s="301">
        <f t="shared" si="100"/>
        <v>752</v>
      </c>
      <c r="L640" s="301">
        <f t="shared" si="101"/>
        <v>752</v>
      </c>
    </row>
    <row r="641" spans="1:12" ht="15" customHeight="1">
      <c r="A641" s="129" t="s">
        <v>617</v>
      </c>
      <c r="B641" s="130"/>
      <c r="C641" s="129"/>
      <c r="D641" s="1"/>
      <c r="E641" s="301"/>
      <c r="F641" s="301">
        <f>H641+J641+L641</f>
        <v>62270</v>
      </c>
      <c r="G641" s="301" t="s">
        <v>1692</v>
      </c>
      <c r="H641" s="301">
        <f>SUM(H635:H640)</f>
        <v>58959</v>
      </c>
      <c r="I641" s="301"/>
      <c r="J641" s="301">
        <f>SUM(J635:J640)</f>
        <v>1799</v>
      </c>
      <c r="K641" s="301"/>
      <c r="L641" s="301">
        <f>SUM(L635:L640)</f>
        <v>1512</v>
      </c>
    </row>
    <row r="642" spans="1:12" ht="15" customHeight="1">
      <c r="A642" s="209"/>
      <c r="B642" s="210"/>
      <c r="C642" s="95"/>
      <c r="D642" s="211"/>
      <c r="E642" s="212">
        <f>E634+1</f>
        <v>124</v>
      </c>
      <c r="F642" s="297" t="s">
        <v>2468</v>
      </c>
      <c r="G642" s="95"/>
      <c r="H642" s="298"/>
      <c r="I642" s="299"/>
      <c r="J642" s="298" t="s">
        <v>1071</v>
      </c>
      <c r="K642" s="299"/>
      <c r="L642" s="300"/>
    </row>
    <row r="643" spans="1:12" ht="15" customHeight="1">
      <c r="A643" s="130" t="s">
        <v>944</v>
      </c>
      <c r="B643" s="130" t="s">
        <v>2459</v>
      </c>
      <c r="C643" s="421">
        <v>0.09</v>
      </c>
      <c r="D643" s="1" t="s">
        <v>31</v>
      </c>
      <c r="E643" s="301">
        <f t="shared" ref="E643:F648" si="103">G643+I643+K643</f>
        <v>32335</v>
      </c>
      <c r="F643" s="301">
        <f t="shared" si="103"/>
        <v>2909</v>
      </c>
      <c r="G643" s="301">
        <f>H160</f>
        <v>27793</v>
      </c>
      <c r="H643" s="301">
        <f t="shared" ref="H643:H648" si="104">INT(C643*G643)</f>
        <v>2501</v>
      </c>
      <c r="I643" s="301">
        <f>J160</f>
        <v>2395</v>
      </c>
      <c r="J643" s="301">
        <f t="shared" ref="J643:J648" si="105">INT(C643*I643)</f>
        <v>215</v>
      </c>
      <c r="K643" s="301">
        <f>L160</f>
        <v>2147</v>
      </c>
      <c r="L643" s="301">
        <f t="shared" ref="L643:L648" si="106">INT(C643*K643)</f>
        <v>193</v>
      </c>
    </row>
    <row r="644" spans="1:12" ht="15" customHeight="1">
      <c r="A644" s="130" t="s">
        <v>2460</v>
      </c>
      <c r="B644" s="130" t="s">
        <v>2461</v>
      </c>
      <c r="C644" s="421">
        <v>1.2</v>
      </c>
      <c r="D644" s="1" t="s">
        <v>250</v>
      </c>
      <c r="E644" s="301">
        <f t="shared" si="103"/>
        <v>36221</v>
      </c>
      <c r="F644" s="301">
        <f t="shared" si="103"/>
        <v>43464</v>
      </c>
      <c r="G644" s="301">
        <f>H148</f>
        <v>32455</v>
      </c>
      <c r="H644" s="301">
        <f t="shared" si="104"/>
        <v>38946</v>
      </c>
      <c r="I644" s="301">
        <f>J148</f>
        <v>2712</v>
      </c>
      <c r="J644" s="301">
        <f t="shared" si="105"/>
        <v>3254</v>
      </c>
      <c r="K644" s="301">
        <f>L148</f>
        <v>1054</v>
      </c>
      <c r="L644" s="301">
        <f t="shared" si="106"/>
        <v>1264</v>
      </c>
    </row>
    <row r="645" spans="1:12" ht="15" customHeight="1">
      <c r="A645" s="130" t="s">
        <v>2462</v>
      </c>
      <c r="B645" s="130" t="s">
        <v>2463</v>
      </c>
      <c r="C645" s="73">
        <v>4.4999999999999997E-3</v>
      </c>
      <c r="D645" s="1" t="s">
        <v>2464</v>
      </c>
      <c r="E645" s="301">
        <f t="shared" si="103"/>
        <v>1027</v>
      </c>
      <c r="F645" s="301">
        <f t="shared" si="103"/>
        <v>3</v>
      </c>
      <c r="G645" s="301">
        <f>H82</f>
        <v>1028</v>
      </c>
      <c r="H645" s="301">
        <f t="shared" si="104"/>
        <v>4</v>
      </c>
      <c r="I645" s="301">
        <f>J82</f>
        <v>-1</v>
      </c>
      <c r="J645" s="301">
        <f t="shared" si="105"/>
        <v>-1</v>
      </c>
      <c r="K645" s="301">
        <f>L82</f>
        <v>0</v>
      </c>
      <c r="L645" s="301">
        <f t="shared" si="106"/>
        <v>0</v>
      </c>
    </row>
    <row r="646" spans="1:12" ht="15" customHeight="1">
      <c r="A646" s="130" t="s">
        <v>229</v>
      </c>
      <c r="B646" s="130" t="s">
        <v>1692</v>
      </c>
      <c r="C646" s="73">
        <v>4.4999999999999997E-3</v>
      </c>
      <c r="D646" s="1" t="s">
        <v>250</v>
      </c>
      <c r="E646" s="301">
        <f t="shared" si="103"/>
        <v>11799</v>
      </c>
      <c r="F646" s="301">
        <f t="shared" si="103"/>
        <v>52</v>
      </c>
      <c r="G646" s="301">
        <f>H562</f>
        <v>3164</v>
      </c>
      <c r="H646" s="301">
        <f t="shared" si="104"/>
        <v>14</v>
      </c>
      <c r="I646" s="301">
        <f>J562</f>
        <v>8635</v>
      </c>
      <c r="J646" s="301">
        <f t="shared" si="105"/>
        <v>38</v>
      </c>
      <c r="K646" s="301">
        <f>L562</f>
        <v>0</v>
      </c>
      <c r="L646" s="301">
        <f t="shared" si="106"/>
        <v>0</v>
      </c>
    </row>
    <row r="647" spans="1:12" ht="15" customHeight="1">
      <c r="A647" s="130" t="s">
        <v>2121</v>
      </c>
      <c r="B647" s="130" t="s">
        <v>2465</v>
      </c>
      <c r="C647" s="73">
        <v>4.4999999999999997E-3</v>
      </c>
      <c r="D647" s="1" t="s">
        <v>640</v>
      </c>
      <c r="E647" s="301">
        <f t="shared" si="103"/>
        <v>55924</v>
      </c>
      <c r="F647" s="301">
        <f t="shared" si="103"/>
        <v>251</v>
      </c>
      <c r="G647" s="301">
        <f>H569</f>
        <v>54103</v>
      </c>
      <c r="H647" s="301">
        <f t="shared" si="104"/>
        <v>243</v>
      </c>
      <c r="I647" s="301">
        <f>J569</f>
        <v>1821</v>
      </c>
      <c r="J647" s="301">
        <f t="shared" si="105"/>
        <v>8</v>
      </c>
      <c r="K647" s="301">
        <f>L569</f>
        <v>0</v>
      </c>
      <c r="L647" s="301">
        <f t="shared" si="106"/>
        <v>0</v>
      </c>
    </row>
    <row r="648" spans="1:12" ht="15" customHeight="1">
      <c r="A648" s="130" t="s">
        <v>2466</v>
      </c>
      <c r="B648" s="130"/>
      <c r="C648" s="421">
        <v>1</v>
      </c>
      <c r="D648" s="1" t="s">
        <v>119</v>
      </c>
      <c r="E648" s="301">
        <f t="shared" si="103"/>
        <v>38397</v>
      </c>
      <c r="F648" s="301">
        <f t="shared" si="103"/>
        <v>38397</v>
      </c>
      <c r="G648" s="301">
        <f>H654</f>
        <v>37645</v>
      </c>
      <c r="H648" s="301">
        <f t="shared" si="104"/>
        <v>37645</v>
      </c>
      <c r="I648" s="301">
        <f>J654</f>
        <v>0</v>
      </c>
      <c r="J648" s="301">
        <f t="shared" si="105"/>
        <v>0</v>
      </c>
      <c r="K648" s="301">
        <f>L654</f>
        <v>752</v>
      </c>
      <c r="L648" s="301">
        <f t="shared" si="106"/>
        <v>752</v>
      </c>
    </row>
    <row r="649" spans="1:12" ht="15" customHeight="1">
      <c r="A649" s="129" t="s">
        <v>617</v>
      </c>
      <c r="B649" s="130"/>
      <c r="C649" s="129"/>
      <c r="D649" s="1"/>
      <c r="E649" s="301"/>
      <c r="F649" s="301">
        <f>H649+J649+L649</f>
        <v>85076</v>
      </c>
      <c r="G649" s="301" t="s">
        <v>1692</v>
      </c>
      <c r="H649" s="301">
        <f>SUM(H643:H648)</f>
        <v>79353</v>
      </c>
      <c r="I649" s="301"/>
      <c r="J649" s="301">
        <f>SUM(J643:J648)</f>
        <v>3514</v>
      </c>
      <c r="K649" s="301"/>
      <c r="L649" s="301">
        <f>SUM(L643:L648)</f>
        <v>2209</v>
      </c>
    </row>
    <row r="650" spans="1:12" ht="15" customHeight="1">
      <c r="A650" s="209"/>
      <c r="B650" s="210"/>
      <c r="C650" s="95"/>
      <c r="D650" s="211"/>
      <c r="E650" s="212">
        <f>E642+1</f>
        <v>125</v>
      </c>
      <c r="F650" s="297" t="s">
        <v>2467</v>
      </c>
      <c r="G650" s="95"/>
      <c r="H650" s="298"/>
      <c r="I650" s="299"/>
      <c r="J650" s="298" t="s">
        <v>119</v>
      </c>
      <c r="K650" s="299"/>
      <c r="L650" s="300"/>
    </row>
    <row r="651" spans="1:12" ht="15" customHeight="1">
      <c r="A651" s="130" t="s">
        <v>2175</v>
      </c>
      <c r="B651" s="130" t="s">
        <v>1692</v>
      </c>
      <c r="C651" s="73">
        <v>9.6000000000000002E-2</v>
      </c>
      <c r="D651" s="1" t="s">
        <v>30</v>
      </c>
      <c r="E651" s="301">
        <f t="shared" ref="E651:F653" si="107">G651+I651+K651</f>
        <v>220081</v>
      </c>
      <c r="F651" s="301">
        <f t="shared" si="107"/>
        <v>21127</v>
      </c>
      <c r="G651" s="301">
        <f>노임!D8</f>
        <v>220081</v>
      </c>
      <c r="H651" s="301">
        <f>INT(C651*G651)</f>
        <v>21127</v>
      </c>
      <c r="I651" s="301">
        <f>[8]중기단위당!I83</f>
        <v>0</v>
      </c>
      <c r="J651" s="301">
        <f>INT(C651*I651)</f>
        <v>0</v>
      </c>
      <c r="K651" s="301">
        <f>[8]중기단위당!J83</f>
        <v>0</v>
      </c>
      <c r="L651" s="301">
        <f>INT(C651*K651)</f>
        <v>0</v>
      </c>
    </row>
    <row r="652" spans="1:12" ht="15" customHeight="1">
      <c r="A652" s="130" t="s">
        <v>27</v>
      </c>
      <c r="B652" s="130"/>
      <c r="C652" s="73">
        <v>9.6000000000000002E-2</v>
      </c>
      <c r="D652" s="1" t="s">
        <v>30</v>
      </c>
      <c r="E652" s="301">
        <f t="shared" si="107"/>
        <v>172068</v>
      </c>
      <c r="F652" s="301">
        <f t="shared" si="107"/>
        <v>16518</v>
      </c>
      <c r="G652" s="301">
        <f>노임!D14</f>
        <v>172068</v>
      </c>
      <c r="H652" s="301">
        <f>INT(C652*G652)</f>
        <v>16518</v>
      </c>
      <c r="I652" s="301">
        <f>[8]중기단위당!I84</f>
        <v>0</v>
      </c>
      <c r="J652" s="301">
        <f>INT(C652*I652)</f>
        <v>0</v>
      </c>
      <c r="K652" s="301">
        <f>[8]중기단위당!J84</f>
        <v>0</v>
      </c>
      <c r="L652" s="301">
        <f>INT(C652*K652)</f>
        <v>0</v>
      </c>
    </row>
    <row r="653" spans="1:12" ht="15" customHeight="1">
      <c r="A653" s="130" t="s">
        <v>714</v>
      </c>
      <c r="B653" s="130" t="s">
        <v>2475</v>
      </c>
      <c r="C653" s="421">
        <v>0.02</v>
      </c>
      <c r="D653" s="1" t="s">
        <v>416</v>
      </c>
      <c r="E653" s="301">
        <f t="shared" si="107"/>
        <v>37645</v>
      </c>
      <c r="F653" s="301">
        <f t="shared" si="107"/>
        <v>752</v>
      </c>
      <c r="G653" s="301"/>
      <c r="H653" s="301"/>
      <c r="I653" s="301"/>
      <c r="J653" s="301"/>
      <c r="K653" s="301">
        <f>F651+F652</f>
        <v>37645</v>
      </c>
      <c r="L653" s="301">
        <f>INT(C653*K653)</f>
        <v>752</v>
      </c>
    </row>
    <row r="654" spans="1:12" ht="15" customHeight="1">
      <c r="A654" s="129" t="s">
        <v>617</v>
      </c>
      <c r="B654" s="130"/>
      <c r="C654" s="129"/>
      <c r="D654" s="1"/>
      <c r="E654" s="301"/>
      <c r="F654" s="301">
        <f>H654+J654+L654</f>
        <v>38397</v>
      </c>
      <c r="G654" s="301"/>
      <c r="H654" s="301">
        <f>SUM(H651:H653)</f>
        <v>37645</v>
      </c>
      <c r="I654" s="301"/>
      <c r="J654" s="301">
        <f>SUM(J651:J653)</f>
        <v>0</v>
      </c>
      <c r="K654" s="301"/>
      <c r="L654" s="301">
        <f>SUM(L651:L653)</f>
        <v>752</v>
      </c>
    </row>
    <row r="655" spans="1:12" ht="15" customHeight="1">
      <c r="A655" s="209"/>
      <c r="B655" s="210"/>
      <c r="C655" s="95"/>
      <c r="D655" s="211"/>
      <c r="E655" s="861"/>
      <c r="F655" s="861"/>
      <c r="G655" s="861"/>
      <c r="H655" s="861"/>
      <c r="I655" s="861"/>
      <c r="J655" s="861"/>
      <c r="K655" s="861"/>
      <c r="L655" s="862"/>
    </row>
    <row r="656" spans="1:12" ht="15" customHeight="1">
      <c r="A656" s="209"/>
      <c r="B656" s="210"/>
      <c r="C656" s="95"/>
      <c r="D656" s="211"/>
      <c r="E656" s="212">
        <f>E650+1</f>
        <v>126</v>
      </c>
      <c r="F656" s="297" t="s">
        <v>2522</v>
      </c>
      <c r="G656" s="95" t="s">
        <v>2557</v>
      </c>
      <c r="H656" s="298"/>
      <c r="I656" s="299"/>
      <c r="J656" s="298" t="s">
        <v>119</v>
      </c>
      <c r="K656" s="299"/>
      <c r="L656" s="300"/>
    </row>
    <row r="657" spans="1:13" ht="15" customHeight="1">
      <c r="A657" s="130" t="s">
        <v>1365</v>
      </c>
      <c r="B657" s="130" t="s">
        <v>1692</v>
      </c>
      <c r="C657" s="73">
        <v>0.05</v>
      </c>
      <c r="D657" s="1" t="s">
        <v>30</v>
      </c>
      <c r="E657" s="301">
        <f t="shared" ref="E657:F660" si="108">G657+I657+K657</f>
        <v>226122</v>
      </c>
      <c r="F657" s="301">
        <f t="shared" si="108"/>
        <v>11306</v>
      </c>
      <c r="G657" s="301">
        <f>노임!D13</f>
        <v>226122</v>
      </c>
      <c r="H657" s="301">
        <f>INT(C657*G657)</f>
        <v>11306</v>
      </c>
      <c r="I657" s="301">
        <f>[8]중기단위당!I88</f>
        <v>0</v>
      </c>
      <c r="J657" s="301">
        <f>INT(C657*I657)</f>
        <v>0</v>
      </c>
      <c r="K657" s="301">
        <f>[8]중기단위당!J88</f>
        <v>0</v>
      </c>
      <c r="L657" s="301">
        <f>INT(C657*K657)</f>
        <v>0</v>
      </c>
    </row>
    <row r="658" spans="1:13" ht="15" customHeight="1">
      <c r="A658" s="130" t="s">
        <v>27</v>
      </c>
      <c r="B658" s="130"/>
      <c r="C658" s="73">
        <v>0.15</v>
      </c>
      <c r="D658" s="1" t="s">
        <v>30</v>
      </c>
      <c r="E658" s="301">
        <f t="shared" si="108"/>
        <v>172068</v>
      </c>
      <c r="F658" s="301">
        <f t="shared" si="108"/>
        <v>25810</v>
      </c>
      <c r="G658" s="301">
        <f>노임!D14</f>
        <v>172068</v>
      </c>
      <c r="H658" s="301">
        <f>INT(C658*G658)</f>
        <v>25810</v>
      </c>
      <c r="I658" s="301">
        <f>[8]중기단위당!I89</f>
        <v>0</v>
      </c>
      <c r="J658" s="301">
        <f>INT(C658*I658)</f>
        <v>0</v>
      </c>
      <c r="K658" s="301">
        <f>[8]중기단위당!J89</f>
        <v>0</v>
      </c>
      <c r="L658" s="301">
        <f>INT(C658*K658)</f>
        <v>0</v>
      </c>
    </row>
    <row r="659" spans="1:13" ht="15" customHeight="1">
      <c r="A659" s="130" t="s">
        <v>2523</v>
      </c>
      <c r="B659" s="130" t="s">
        <v>2524</v>
      </c>
      <c r="C659" s="73">
        <v>0.51</v>
      </c>
      <c r="D659" s="1" t="s">
        <v>2525</v>
      </c>
      <c r="E659" s="301">
        <f t="shared" si="108"/>
        <v>80280</v>
      </c>
      <c r="F659" s="301">
        <f t="shared" si="108"/>
        <v>40941</v>
      </c>
      <c r="G659" s="301">
        <f>중기일람!D12</f>
        <v>57077</v>
      </c>
      <c r="H659" s="301">
        <f>INT(C659*G659)</f>
        <v>29109</v>
      </c>
      <c r="I659" s="301">
        <f>중기일람!E12</f>
        <v>10637</v>
      </c>
      <c r="J659" s="301">
        <f>INT(C659*I659)</f>
        <v>5424</v>
      </c>
      <c r="K659" s="301">
        <f>중기일람!F12</f>
        <v>12566</v>
      </c>
      <c r="L659" s="301">
        <f>INT(C659*K659)</f>
        <v>6408</v>
      </c>
    </row>
    <row r="660" spans="1:13" ht="15" customHeight="1">
      <c r="A660" s="130" t="s">
        <v>714</v>
      </c>
      <c r="B660" s="130" t="s">
        <v>2475</v>
      </c>
      <c r="C660" s="421">
        <v>0.02</v>
      </c>
      <c r="D660" s="1" t="s">
        <v>416</v>
      </c>
      <c r="E660" s="301">
        <f t="shared" si="108"/>
        <v>37116</v>
      </c>
      <c r="F660" s="301">
        <f t="shared" si="108"/>
        <v>742</v>
      </c>
      <c r="G660" s="301"/>
      <c r="H660" s="301"/>
      <c r="I660" s="301"/>
      <c r="J660" s="301"/>
      <c r="K660" s="301">
        <f>F657+F658</f>
        <v>37116</v>
      </c>
      <c r="L660" s="301">
        <f>INT(C660*K660)</f>
        <v>742</v>
      </c>
    </row>
    <row r="661" spans="1:13" ht="15" customHeight="1">
      <c r="A661" s="129" t="s">
        <v>617</v>
      </c>
      <c r="B661" s="130"/>
      <c r="C661" s="129"/>
      <c r="D661" s="1"/>
      <c r="E661" s="301"/>
      <c r="F661" s="301">
        <f>H661+J661+L661</f>
        <v>78799</v>
      </c>
      <c r="G661" s="301"/>
      <c r="H661" s="301">
        <f>SUM(H657:H660)</f>
        <v>66225</v>
      </c>
      <c r="I661" s="301"/>
      <c r="J661" s="301">
        <f>SUM(J657:J660)</f>
        <v>5424</v>
      </c>
      <c r="K661" s="301"/>
      <c r="L661" s="301">
        <f>SUM(L657:L660)</f>
        <v>7150</v>
      </c>
    </row>
    <row r="662" spans="1:13" ht="15" customHeight="1">
      <c r="A662" s="209"/>
      <c r="B662" s="210"/>
      <c r="C662" s="95"/>
      <c r="D662" s="211"/>
      <c r="E662" s="212">
        <f>E656+1</f>
        <v>127</v>
      </c>
      <c r="F662" s="297" t="s">
        <v>2554</v>
      </c>
      <c r="G662" s="95" t="s">
        <v>2555</v>
      </c>
      <c r="H662" s="298"/>
      <c r="I662" s="299"/>
      <c r="J662" s="298" t="s">
        <v>119</v>
      </c>
      <c r="K662" s="299"/>
      <c r="L662" s="300"/>
    </row>
    <row r="663" spans="1:13" ht="15" customHeight="1">
      <c r="A663" s="130" t="s">
        <v>1365</v>
      </c>
      <c r="B663" s="130" t="s">
        <v>1692</v>
      </c>
      <c r="C663" s="73">
        <v>0.5</v>
      </c>
      <c r="D663" s="1" t="s">
        <v>30</v>
      </c>
      <c r="E663" s="301">
        <f t="shared" ref="E663:F666" si="109">G663+I663+K663</f>
        <v>226122</v>
      </c>
      <c r="F663" s="301">
        <f t="shared" si="109"/>
        <v>113061</v>
      </c>
      <c r="G663" s="301">
        <f>노임!D13</f>
        <v>226122</v>
      </c>
      <c r="H663" s="301">
        <f>INT(C663*G663)</f>
        <v>113061</v>
      </c>
      <c r="I663" s="301">
        <f>[8]중기단위당!I94</f>
        <v>0</v>
      </c>
      <c r="J663" s="301">
        <f>INT(C663*I663)</f>
        <v>0</v>
      </c>
      <c r="K663" s="301">
        <f>[8]중기단위당!J94</f>
        <v>0</v>
      </c>
      <c r="L663" s="301">
        <f>INT(C663*K663)</f>
        <v>0</v>
      </c>
    </row>
    <row r="664" spans="1:13" ht="15" customHeight="1">
      <c r="A664" s="130" t="s">
        <v>27</v>
      </c>
      <c r="B664" s="130"/>
      <c r="C664" s="73">
        <v>2</v>
      </c>
      <c r="D664" s="1" t="s">
        <v>30</v>
      </c>
      <c r="E664" s="301">
        <f t="shared" si="109"/>
        <v>172068</v>
      </c>
      <c r="F664" s="301">
        <f t="shared" si="109"/>
        <v>344136</v>
      </c>
      <c r="G664" s="301">
        <f>노임!D14</f>
        <v>172068</v>
      </c>
      <c r="H664" s="301">
        <f>INT(C664*G664)</f>
        <v>344136</v>
      </c>
      <c r="I664" s="301">
        <f>[8]중기단위당!I95</f>
        <v>0</v>
      </c>
      <c r="J664" s="301">
        <f>INT(C664*I664)</f>
        <v>0</v>
      </c>
      <c r="K664" s="301">
        <f>[8]중기단위당!J95</f>
        <v>0</v>
      </c>
      <c r="L664" s="301">
        <f>INT(C664*K664)</f>
        <v>0</v>
      </c>
    </row>
    <row r="665" spans="1:13" ht="15" customHeight="1">
      <c r="A665" s="130" t="s">
        <v>2556</v>
      </c>
      <c r="B665" s="130" t="s">
        <v>2524</v>
      </c>
      <c r="C665" s="73">
        <v>4</v>
      </c>
      <c r="D665" s="1" t="s">
        <v>151</v>
      </c>
      <c r="E665" s="301">
        <f t="shared" si="109"/>
        <v>90112</v>
      </c>
      <c r="F665" s="301">
        <f t="shared" si="109"/>
        <v>360448</v>
      </c>
      <c r="G665" s="301">
        <f>중기일람!D14</f>
        <v>49479</v>
      </c>
      <c r="H665" s="301">
        <f>INT(C665*G665)</f>
        <v>197916</v>
      </c>
      <c r="I665" s="301">
        <f>중기일람!E14</f>
        <v>18890</v>
      </c>
      <c r="J665" s="301">
        <f>INT(C665*I665)</f>
        <v>75560</v>
      </c>
      <c r="K665" s="301">
        <f>중기일람!F14</f>
        <v>21743</v>
      </c>
      <c r="L665" s="301">
        <f>INT(C665*K665)</f>
        <v>86972</v>
      </c>
    </row>
    <row r="666" spans="1:13" ht="15" customHeight="1">
      <c r="A666" s="130" t="s">
        <v>714</v>
      </c>
      <c r="B666" s="130" t="s">
        <v>2475</v>
      </c>
      <c r="C666" s="421">
        <v>0.02</v>
      </c>
      <c r="D666" s="1" t="s">
        <v>416</v>
      </c>
      <c r="E666" s="301">
        <f t="shared" si="109"/>
        <v>457197</v>
      </c>
      <c r="F666" s="301">
        <f t="shared" si="109"/>
        <v>9143</v>
      </c>
      <c r="G666" s="301"/>
      <c r="H666" s="301"/>
      <c r="I666" s="301"/>
      <c r="J666" s="301"/>
      <c r="K666" s="301">
        <f>F663+F664</f>
        <v>457197</v>
      </c>
      <c r="L666" s="301">
        <f>INT(C666*K666)</f>
        <v>9143</v>
      </c>
    </row>
    <row r="667" spans="1:13" ht="15" customHeight="1">
      <c r="A667" s="129" t="s">
        <v>617</v>
      </c>
      <c r="B667" s="130"/>
      <c r="C667" s="129"/>
      <c r="D667" s="1"/>
      <c r="E667" s="301"/>
      <c r="F667" s="301">
        <f>H667+J667+L667</f>
        <v>826788</v>
      </c>
      <c r="G667" s="301"/>
      <c r="H667" s="301">
        <f>SUM(H663:H666)</f>
        <v>655113</v>
      </c>
      <c r="I667" s="301"/>
      <c r="J667" s="301">
        <f>SUM(J663:J666)</f>
        <v>75560</v>
      </c>
      <c r="K667" s="301"/>
      <c r="L667" s="301">
        <f>SUM(L663:L666)</f>
        <v>96115</v>
      </c>
    </row>
    <row r="668" spans="1:13" ht="15" customHeight="1">
      <c r="A668" s="209"/>
      <c r="B668" s="210"/>
      <c r="C668" s="95"/>
      <c r="D668" s="211"/>
      <c r="E668" s="515">
        <f>E662+1</f>
        <v>128</v>
      </c>
      <c r="F668" s="297" t="s">
        <v>2423</v>
      </c>
      <c r="G668" s="95"/>
      <c r="H668" s="298"/>
      <c r="I668" s="299"/>
      <c r="J668" s="298" t="s">
        <v>1071</v>
      </c>
      <c r="K668" s="299"/>
      <c r="L668" s="300"/>
      <c r="M668" s="10" t="s">
        <v>1875</v>
      </c>
    </row>
    <row r="669" spans="1:13" ht="15" customHeight="1">
      <c r="A669" s="129" t="s">
        <v>452</v>
      </c>
      <c r="B669" s="129" t="s">
        <v>454</v>
      </c>
      <c r="C669" s="421">
        <v>1</v>
      </c>
      <c r="D669" s="1" t="s">
        <v>640</v>
      </c>
      <c r="E669" s="91">
        <v>0</v>
      </c>
      <c r="F669" s="91">
        <f>H669+J669+L669</f>
        <v>0</v>
      </c>
      <c r="G669" s="91">
        <v>0</v>
      </c>
      <c r="H669" s="91">
        <f>INT(C669*G669)</f>
        <v>0</v>
      </c>
      <c r="I669" s="91">
        <f>자재!F590</f>
        <v>0</v>
      </c>
      <c r="J669" s="91">
        <f>INT(C669*I669)</f>
        <v>0</v>
      </c>
      <c r="K669" s="91">
        <v>0</v>
      </c>
      <c r="L669" s="91">
        <f>INT(C669*K669)</f>
        <v>0</v>
      </c>
    </row>
    <row r="670" spans="1:13" ht="15" customHeight="1">
      <c r="A670" s="129" t="s">
        <v>453</v>
      </c>
      <c r="B670" s="129" t="s">
        <v>454</v>
      </c>
      <c r="C670" s="73">
        <v>1</v>
      </c>
      <c r="D670" s="1" t="s">
        <v>640</v>
      </c>
      <c r="E670" s="91">
        <v>13343</v>
      </c>
      <c r="F670" s="91">
        <v>13343</v>
      </c>
      <c r="G670" s="91">
        <v>13343</v>
      </c>
      <c r="H670" s="91">
        <f>INT(C670*G670)</f>
        <v>13343</v>
      </c>
      <c r="I670" s="91">
        <v>0</v>
      </c>
      <c r="J670" s="91">
        <f>INT(C670*I670)</f>
        <v>0</v>
      </c>
      <c r="K670" s="91">
        <v>0</v>
      </c>
      <c r="L670" s="91">
        <f>INT(C670*K670)</f>
        <v>0</v>
      </c>
    </row>
    <row r="671" spans="1:13" ht="15" customHeight="1">
      <c r="A671" s="129" t="s">
        <v>414</v>
      </c>
      <c r="B671" s="129"/>
      <c r="C671" s="73">
        <v>1</v>
      </c>
      <c r="D671" s="1" t="s">
        <v>640</v>
      </c>
      <c r="E671" s="91">
        <v>1718</v>
      </c>
      <c r="F671" s="91">
        <v>1718</v>
      </c>
      <c r="G671" s="91">
        <v>1282</v>
      </c>
      <c r="H671" s="91">
        <f>INT(C671*G671)</f>
        <v>1282</v>
      </c>
      <c r="I671" s="91">
        <v>359</v>
      </c>
      <c r="J671" s="91">
        <f>INT(C671*I671)</f>
        <v>359</v>
      </c>
      <c r="K671" s="91">
        <v>77</v>
      </c>
      <c r="L671" s="91">
        <f>INT(C671*K671)</f>
        <v>77</v>
      </c>
    </row>
    <row r="672" spans="1:13" ht="15" customHeight="1">
      <c r="A672" s="129" t="s">
        <v>2560</v>
      </c>
      <c r="B672" s="126"/>
      <c r="C672" s="129"/>
      <c r="D672" s="1"/>
      <c r="E672" s="301"/>
      <c r="F672" s="301">
        <f>H672+J672+L672</f>
        <v>15061</v>
      </c>
      <c r="G672" s="301"/>
      <c r="H672" s="301">
        <f>SUM(H669:H671)</f>
        <v>14625</v>
      </c>
      <c r="I672" s="301"/>
      <c r="J672" s="301">
        <f>SUM(J669:J671)</f>
        <v>359</v>
      </c>
      <c r="K672" s="301"/>
      <c r="L672" s="301">
        <f>SUM(L669:L671)</f>
        <v>77</v>
      </c>
    </row>
    <row r="673" spans="1:13" ht="15" customHeight="1">
      <c r="A673" s="209"/>
      <c r="B673" s="210"/>
      <c r="C673" s="95"/>
      <c r="D673" s="211"/>
      <c r="E673" s="515">
        <f>E667+1</f>
        <v>1</v>
      </c>
      <c r="F673" s="297" t="s">
        <v>2582</v>
      </c>
      <c r="G673" s="95"/>
      <c r="H673" s="298"/>
      <c r="I673" s="299"/>
      <c r="J673" s="298" t="s">
        <v>1071</v>
      </c>
      <c r="K673" s="299"/>
      <c r="L673" s="300"/>
      <c r="M673" s="10" t="s">
        <v>1875</v>
      </c>
    </row>
    <row r="674" spans="1:13" ht="15" customHeight="1">
      <c r="A674" s="129" t="s">
        <v>452</v>
      </c>
      <c r="B674" s="129" t="s">
        <v>2580</v>
      </c>
      <c r="C674" s="421">
        <v>1</v>
      </c>
      <c r="D674" s="1" t="s">
        <v>640</v>
      </c>
      <c r="E674" s="91">
        <v>0</v>
      </c>
      <c r="F674" s="91">
        <f>H674+J674+L674</f>
        <v>3340</v>
      </c>
      <c r="G674" s="91">
        <v>0</v>
      </c>
      <c r="H674" s="91">
        <f>INT(C674*G674)</f>
        <v>0</v>
      </c>
      <c r="I674" s="91">
        <f>자재!F282</f>
        <v>3340</v>
      </c>
      <c r="J674" s="91">
        <f>INT(C674*I674)</f>
        <v>3340</v>
      </c>
      <c r="K674" s="91">
        <v>0</v>
      </c>
      <c r="L674" s="91">
        <f>INT(C674*K674)</f>
        <v>0</v>
      </c>
    </row>
    <row r="675" spans="1:13" ht="15" customHeight="1">
      <c r="A675" s="129" t="s">
        <v>453</v>
      </c>
      <c r="B675" s="129" t="s">
        <v>2580</v>
      </c>
      <c r="C675" s="73">
        <v>1</v>
      </c>
      <c r="D675" s="1" t="s">
        <v>640</v>
      </c>
      <c r="E675" s="91">
        <v>12921</v>
      </c>
      <c r="F675" s="91">
        <f>E675</f>
        <v>12921</v>
      </c>
      <c r="G675" s="91">
        <v>12921</v>
      </c>
      <c r="H675" s="91">
        <f>INT(C675*G675)</f>
        <v>12921</v>
      </c>
      <c r="I675" s="91">
        <v>0</v>
      </c>
      <c r="J675" s="91">
        <f>INT(C675*I675)</f>
        <v>0</v>
      </c>
      <c r="K675" s="91">
        <v>0</v>
      </c>
      <c r="L675" s="91">
        <f>INT(C675*K675)</f>
        <v>0</v>
      </c>
    </row>
    <row r="676" spans="1:13" ht="15" customHeight="1">
      <c r="A676" s="129" t="s">
        <v>414</v>
      </c>
      <c r="B676" s="129"/>
      <c r="C676" s="73">
        <v>1</v>
      </c>
      <c r="D676" s="1" t="s">
        <v>640</v>
      </c>
      <c r="E676" s="91">
        <f>자재일람!E28</f>
        <v>1103</v>
      </c>
      <c r="F676" s="91">
        <f>E676</f>
        <v>1103</v>
      </c>
      <c r="G676" s="91">
        <f>자재일람!F28</f>
        <v>824</v>
      </c>
      <c r="H676" s="91">
        <f>INT(C676*G676)</f>
        <v>824</v>
      </c>
      <c r="I676" s="91">
        <f>자재일람!G28</f>
        <v>230</v>
      </c>
      <c r="J676" s="91">
        <f>INT(C676*I676)</f>
        <v>230</v>
      </c>
      <c r="K676" s="91">
        <f>자재일람!H28</f>
        <v>49</v>
      </c>
      <c r="L676" s="91">
        <f>INT(C676*K676)</f>
        <v>49</v>
      </c>
    </row>
    <row r="677" spans="1:13" ht="15" customHeight="1">
      <c r="A677" s="129" t="s">
        <v>53</v>
      </c>
      <c r="B677" s="126"/>
      <c r="C677" s="129"/>
      <c r="D677" s="1"/>
      <c r="E677" s="301"/>
      <c r="F677" s="301">
        <f>H677+J677+L677</f>
        <v>17364</v>
      </c>
      <c r="G677" s="301"/>
      <c r="H677" s="301">
        <f>SUM(H674:H676)</f>
        <v>13745</v>
      </c>
      <c r="I677" s="301"/>
      <c r="J677" s="301">
        <f>SUM(J674:J676)</f>
        <v>3570</v>
      </c>
      <c r="K677" s="301"/>
      <c r="L677" s="301">
        <f>SUM(L674:L676)</f>
        <v>49</v>
      </c>
    </row>
    <row r="678" spans="1:13" ht="15" customHeight="1">
      <c r="A678" s="209"/>
      <c r="B678" s="210"/>
      <c r="C678" s="95"/>
      <c r="D678" s="211"/>
      <c r="E678" s="515">
        <f>E672+1</f>
        <v>1</v>
      </c>
      <c r="F678" s="297" t="s">
        <v>2704</v>
      </c>
      <c r="G678" s="95"/>
      <c r="H678" s="298"/>
      <c r="I678" s="299"/>
      <c r="J678" s="298" t="s">
        <v>1071</v>
      </c>
      <c r="K678" s="299"/>
      <c r="L678" s="300"/>
      <c r="M678" s="10" t="s">
        <v>1875</v>
      </c>
    </row>
    <row r="679" spans="1:13" ht="15" customHeight="1">
      <c r="A679" s="129" t="s">
        <v>452</v>
      </c>
      <c r="B679" s="129" t="s">
        <v>2580</v>
      </c>
      <c r="C679" s="421">
        <v>1</v>
      </c>
      <c r="D679" s="1" t="s">
        <v>640</v>
      </c>
      <c r="E679" s="91">
        <v>0</v>
      </c>
      <c r="F679" s="91">
        <f>H679+J679+L679</f>
        <v>251020</v>
      </c>
      <c r="G679" s="91">
        <v>0</v>
      </c>
      <c r="H679" s="91">
        <f>INT(C679*G679)</f>
        <v>0</v>
      </c>
      <c r="I679" s="91">
        <f>자재!F283</f>
        <v>251020</v>
      </c>
      <c r="J679" s="91">
        <f>INT(C679*I679)</f>
        <v>251020</v>
      </c>
      <c r="K679" s="91">
        <v>0</v>
      </c>
      <c r="L679" s="91">
        <f>INT(C679*K679)</f>
        <v>0</v>
      </c>
    </row>
    <row r="680" spans="1:13" ht="15" customHeight="1">
      <c r="A680" s="129" t="s">
        <v>453</v>
      </c>
      <c r="B680" s="129" t="s">
        <v>2580</v>
      </c>
      <c r="C680" s="73">
        <v>1</v>
      </c>
      <c r="D680" s="1" t="s">
        <v>640</v>
      </c>
      <c r="E680" s="91">
        <v>12921</v>
      </c>
      <c r="F680" s="91">
        <f>E680</f>
        <v>12921</v>
      </c>
      <c r="G680" s="91">
        <f>I679*0.05</f>
        <v>12551</v>
      </c>
      <c r="H680" s="91">
        <f>INT(C680*G680)</f>
        <v>12551</v>
      </c>
      <c r="I680" s="91">
        <v>0</v>
      </c>
      <c r="J680" s="91">
        <f>INT(C680*I680)</f>
        <v>0</v>
      </c>
      <c r="K680" s="91">
        <v>0</v>
      </c>
      <c r="L680" s="91">
        <f>INT(C680*K680)</f>
        <v>0</v>
      </c>
    </row>
    <row r="681" spans="1:13" ht="15" customHeight="1">
      <c r="A681" s="129" t="s">
        <v>414</v>
      </c>
      <c r="B681" s="129"/>
      <c r="C681" s="73">
        <v>1</v>
      </c>
      <c r="D681" s="1" t="s">
        <v>640</v>
      </c>
      <c r="E681" s="91">
        <f>자재일람!E33</f>
        <v>0</v>
      </c>
      <c r="F681" s="91">
        <f>E681</f>
        <v>0</v>
      </c>
      <c r="G681" s="91">
        <f>자재일람!F30</f>
        <v>1923</v>
      </c>
      <c r="H681" s="91">
        <f>INT(C681*G681)</f>
        <v>1923</v>
      </c>
      <c r="I681" s="91">
        <f>자재일람!G30</f>
        <v>538</v>
      </c>
      <c r="J681" s="91">
        <f>INT(C681*I681)</f>
        <v>538</v>
      </c>
      <c r="K681" s="91">
        <f>자재일람!H30</f>
        <v>116</v>
      </c>
      <c r="L681" s="91">
        <f>INT(C681*K681)</f>
        <v>116</v>
      </c>
    </row>
    <row r="682" spans="1:13" ht="15" customHeight="1">
      <c r="A682" s="129" t="s">
        <v>53</v>
      </c>
      <c r="B682" s="126"/>
      <c r="C682" s="129"/>
      <c r="D682" s="1"/>
      <c r="E682" s="301"/>
      <c r="F682" s="301">
        <f>H682+J682+L682</f>
        <v>266148</v>
      </c>
      <c r="G682" s="301"/>
      <c r="H682" s="301">
        <f>SUM(H679:H681)</f>
        <v>14474</v>
      </c>
      <c r="I682" s="301"/>
      <c r="J682" s="301">
        <f>SUM(J679:J681)</f>
        <v>251558</v>
      </c>
      <c r="K682" s="301"/>
      <c r="L682" s="301">
        <f>SUM(L679:L681)</f>
        <v>116</v>
      </c>
    </row>
    <row r="683" spans="1:13" ht="15" customHeight="1">
      <c r="A683" s="209"/>
      <c r="B683" s="210"/>
      <c r="C683" s="95"/>
      <c r="D683" s="211"/>
      <c r="E683" s="515">
        <f>E677+1</f>
        <v>1</v>
      </c>
      <c r="F683" s="297" t="s">
        <v>2705</v>
      </c>
      <c r="G683" s="95"/>
      <c r="H683" s="298"/>
      <c r="I683" s="299"/>
      <c r="J683" s="298" t="s">
        <v>1071</v>
      </c>
      <c r="K683" s="299"/>
      <c r="L683" s="300"/>
      <c r="M683" s="10" t="s">
        <v>1875</v>
      </c>
    </row>
    <row r="684" spans="1:13" ht="15" customHeight="1">
      <c r="A684" s="129" t="s">
        <v>452</v>
      </c>
      <c r="B684" s="129" t="s">
        <v>2580</v>
      </c>
      <c r="C684" s="421">
        <v>1</v>
      </c>
      <c r="D684" s="1" t="s">
        <v>640</v>
      </c>
      <c r="E684" s="91">
        <v>0</v>
      </c>
      <c r="F684" s="91">
        <f>H684+J684+L684</f>
        <v>336864</v>
      </c>
      <c r="G684" s="91">
        <v>0</v>
      </c>
      <c r="H684" s="91">
        <f>INT(C684*G684)</f>
        <v>0</v>
      </c>
      <c r="I684" s="91">
        <f>자재!F284</f>
        <v>336864</v>
      </c>
      <c r="J684" s="91">
        <f>INT(C684*I684)</f>
        <v>336864</v>
      </c>
      <c r="K684" s="91">
        <v>0</v>
      </c>
      <c r="L684" s="91">
        <f>INT(C684*K684)</f>
        <v>0</v>
      </c>
    </row>
    <row r="685" spans="1:13" ht="15" customHeight="1">
      <c r="A685" s="129" t="s">
        <v>453</v>
      </c>
      <c r="B685" s="129" t="s">
        <v>2580</v>
      </c>
      <c r="C685" s="73">
        <v>1</v>
      </c>
      <c r="D685" s="1" t="s">
        <v>640</v>
      </c>
      <c r="E685" s="91">
        <v>12921</v>
      </c>
      <c r="F685" s="91">
        <f>E685</f>
        <v>12921</v>
      </c>
      <c r="G685" s="91">
        <f>I684*0.05</f>
        <v>16843.2</v>
      </c>
      <c r="H685" s="91">
        <f>INT(C685*G685)</f>
        <v>16843</v>
      </c>
      <c r="I685" s="91">
        <v>0</v>
      </c>
      <c r="J685" s="91">
        <f>INT(C685*I685)</f>
        <v>0</v>
      </c>
      <c r="K685" s="91">
        <v>0</v>
      </c>
      <c r="L685" s="91">
        <f>INT(C685*K685)</f>
        <v>0</v>
      </c>
    </row>
    <row r="686" spans="1:13" ht="15" customHeight="1">
      <c r="A686" s="129" t="s">
        <v>414</v>
      </c>
      <c r="B686" s="129"/>
      <c r="C686" s="73">
        <v>1</v>
      </c>
      <c r="D686" s="1" t="s">
        <v>640</v>
      </c>
      <c r="E686" s="91">
        <f>자재일람!E38</f>
        <v>0</v>
      </c>
      <c r="F686" s="91">
        <f>E686</f>
        <v>0</v>
      </c>
      <c r="G686" s="91">
        <f>자재일람!F30</f>
        <v>1923</v>
      </c>
      <c r="H686" s="91">
        <f>INT(C686*G686)</f>
        <v>1923</v>
      </c>
      <c r="I686" s="91">
        <f>자재일람!G30</f>
        <v>538</v>
      </c>
      <c r="J686" s="91">
        <f>INT(C686*I686)</f>
        <v>538</v>
      </c>
      <c r="K686" s="91">
        <f>자재일람!H30</f>
        <v>116</v>
      </c>
      <c r="L686" s="91">
        <f>INT(C686*K686)</f>
        <v>116</v>
      </c>
    </row>
    <row r="687" spans="1:13" ht="15" customHeight="1">
      <c r="A687" s="129" t="s">
        <v>53</v>
      </c>
      <c r="B687" s="126"/>
      <c r="C687" s="129"/>
      <c r="D687" s="1"/>
      <c r="E687" s="301"/>
      <c r="F687" s="301">
        <f>H687+J687+L687</f>
        <v>356284</v>
      </c>
      <c r="G687" s="301"/>
      <c r="H687" s="301">
        <f>SUM(H684:H686)</f>
        <v>18766</v>
      </c>
      <c r="I687" s="301"/>
      <c r="J687" s="301">
        <f>SUM(J684:J686)</f>
        <v>337402</v>
      </c>
      <c r="K687" s="301"/>
      <c r="L687" s="301">
        <f>SUM(L684:L686)</f>
        <v>116</v>
      </c>
    </row>
    <row r="688" spans="1:13" s="989" customFormat="1" ht="15" customHeight="1">
      <c r="A688" s="209"/>
      <c r="B688" s="210"/>
      <c r="C688" s="95"/>
      <c r="D688" s="211"/>
      <c r="E688" s="515">
        <f>E683+1</f>
        <v>2</v>
      </c>
      <c r="F688" s="297" t="s">
        <v>2748</v>
      </c>
      <c r="G688" s="95"/>
      <c r="H688" s="298"/>
      <c r="I688" s="299"/>
      <c r="J688" s="298" t="s">
        <v>1071</v>
      </c>
      <c r="K688" s="299"/>
      <c r="L688" s="300"/>
      <c r="M688" s="989" t="s">
        <v>1875</v>
      </c>
    </row>
    <row r="689" spans="1:13" s="989" customFormat="1" ht="15" customHeight="1">
      <c r="A689" s="129" t="s">
        <v>1846</v>
      </c>
      <c r="B689" s="129" t="s">
        <v>2749</v>
      </c>
      <c r="C689" s="421">
        <v>1</v>
      </c>
      <c r="D689" s="988" t="s">
        <v>640</v>
      </c>
      <c r="E689" s="91" t="s">
        <v>1692</v>
      </c>
      <c r="F689" s="91" t="s">
        <v>1692</v>
      </c>
      <c r="G689" s="513"/>
      <c r="H689" s="513" t="s">
        <v>1692</v>
      </c>
      <c r="I689" s="514">
        <v>2700</v>
      </c>
      <c r="J689" s="91">
        <f>INT(C689*I689)</f>
        <v>2700</v>
      </c>
      <c r="K689" s="91">
        <v>0</v>
      </c>
      <c r="L689" s="91">
        <f>INT(C689*K689)</f>
        <v>0</v>
      </c>
    </row>
    <row r="690" spans="1:13" s="989" customFormat="1" ht="15" customHeight="1">
      <c r="A690" s="129" t="s">
        <v>1549</v>
      </c>
      <c r="B690" s="129" t="s">
        <v>2750</v>
      </c>
      <c r="C690" s="73">
        <f>1/20*2/6</f>
        <v>1.6666666666666666E-2</v>
      </c>
      <c r="D690" s="988" t="s">
        <v>30</v>
      </c>
      <c r="E690" s="91">
        <f t="shared" ref="E690:E692" si="110">G690+I690+K690</f>
        <v>262580</v>
      </c>
      <c r="F690" s="91">
        <f t="shared" ref="F690:F692" si="111">H690+J690+L690</f>
        <v>4376</v>
      </c>
      <c r="G690" s="91">
        <f>노임!B16</f>
        <v>262580</v>
      </c>
      <c r="H690" s="91">
        <f>INT(C690*G690)</f>
        <v>4376</v>
      </c>
      <c r="I690" s="91"/>
      <c r="J690" s="91">
        <f>INT(C690*I690)</f>
        <v>0</v>
      </c>
      <c r="K690" s="91"/>
      <c r="L690" s="91">
        <f>INT(C690*K690)</f>
        <v>0</v>
      </c>
    </row>
    <row r="691" spans="1:13" s="989" customFormat="1" ht="15" customHeight="1">
      <c r="A691" s="129" t="s">
        <v>27</v>
      </c>
      <c r="B691" s="129" t="s">
        <v>2751</v>
      </c>
      <c r="C691" s="73">
        <f>1/20*1/6</f>
        <v>8.3333333333333332E-3</v>
      </c>
      <c r="D691" s="988" t="s">
        <v>30</v>
      </c>
      <c r="E691" s="91">
        <f t="shared" si="110"/>
        <v>172068</v>
      </c>
      <c r="F691" s="91">
        <f t="shared" si="111"/>
        <v>1433</v>
      </c>
      <c r="G691" s="91">
        <f>노임!D14</f>
        <v>172068</v>
      </c>
      <c r="H691" s="91">
        <f>INT(C691*G691)</f>
        <v>1433</v>
      </c>
      <c r="I691" s="91"/>
      <c r="J691" s="91">
        <f>INT(C691*I691)</f>
        <v>0</v>
      </c>
      <c r="K691" s="91"/>
      <c r="L691" s="91">
        <f>INT(C691*K691)</f>
        <v>0</v>
      </c>
    </row>
    <row r="692" spans="1:13" s="989" customFormat="1" ht="15" customHeight="1">
      <c r="A692" s="129" t="s">
        <v>2196</v>
      </c>
      <c r="B692" s="129" t="s">
        <v>2747</v>
      </c>
      <c r="C692" s="73">
        <v>0.12</v>
      </c>
      <c r="D692" s="988" t="s">
        <v>416</v>
      </c>
      <c r="E692" s="91">
        <f t="shared" si="110"/>
        <v>5809</v>
      </c>
      <c r="F692" s="91">
        <f t="shared" si="111"/>
        <v>697</v>
      </c>
      <c r="G692" s="91">
        <v>0</v>
      </c>
      <c r="H692" s="91">
        <f>INT(C692*G692)</f>
        <v>0</v>
      </c>
      <c r="I692" s="91">
        <f>I696</f>
        <v>0</v>
      </c>
      <c r="J692" s="91">
        <f>INT(C692*I692)</f>
        <v>0</v>
      </c>
      <c r="K692" s="91">
        <f>F690+F691</f>
        <v>5809</v>
      </c>
      <c r="L692" s="91">
        <f>INT(C692*K692)</f>
        <v>697</v>
      </c>
    </row>
    <row r="693" spans="1:13" s="989" customFormat="1" ht="15" customHeight="1">
      <c r="A693" s="129" t="s">
        <v>617</v>
      </c>
      <c r="B693" s="126"/>
      <c r="C693" s="129"/>
      <c r="D693" s="988"/>
      <c r="E693" s="301"/>
      <c r="F693" s="301">
        <f>H693+J693+L693</f>
        <v>9206</v>
      </c>
      <c r="G693" s="301"/>
      <c r="H693" s="301">
        <f>SUM(H689:H692)</f>
        <v>5809</v>
      </c>
      <c r="I693" s="301"/>
      <c r="J693" s="301">
        <f>SUM(J689:J692)</f>
        <v>2700</v>
      </c>
      <c r="K693" s="301"/>
      <c r="L693" s="301">
        <f>SUM(L689:L692)</f>
        <v>697</v>
      </c>
    </row>
    <row r="694" spans="1:13" ht="15" customHeight="1">
      <c r="A694" s="209"/>
      <c r="B694" s="210"/>
      <c r="C694" s="95"/>
      <c r="D694" s="211"/>
      <c r="E694" s="515">
        <f>E682+1</f>
        <v>1</v>
      </c>
      <c r="F694" s="297" t="s">
        <v>2728</v>
      </c>
      <c r="G694" s="95"/>
      <c r="H694" s="298"/>
      <c r="I694" s="299"/>
      <c r="J694" s="298" t="s">
        <v>1071</v>
      </c>
      <c r="K694" s="299"/>
      <c r="L694" s="300"/>
      <c r="M694" s="10" t="s">
        <v>1875</v>
      </c>
    </row>
    <row r="695" spans="1:13" ht="15" customHeight="1">
      <c r="A695" s="129" t="s">
        <v>1846</v>
      </c>
      <c r="B695" s="129" t="s">
        <v>1840</v>
      </c>
      <c r="C695" s="421">
        <v>1</v>
      </c>
      <c r="D695" s="1" t="s">
        <v>640</v>
      </c>
      <c r="E695" s="91" t="s">
        <v>1692</v>
      </c>
      <c r="F695" s="91" t="s">
        <v>1692</v>
      </c>
      <c r="G695" s="513"/>
      <c r="H695" s="513" t="s">
        <v>1692</v>
      </c>
      <c r="I695" s="514">
        <v>10230</v>
      </c>
      <c r="J695" s="91">
        <f>INT(C695*I695)</f>
        <v>10230</v>
      </c>
      <c r="K695" s="91">
        <v>0</v>
      </c>
      <c r="L695" s="91">
        <f>INT(C695*K695)</f>
        <v>0</v>
      </c>
    </row>
    <row r="696" spans="1:13" ht="15" customHeight="1">
      <c r="A696" s="129" t="s">
        <v>1549</v>
      </c>
      <c r="B696" s="129" t="s">
        <v>2733</v>
      </c>
      <c r="C696" s="73">
        <f>1/9*2/6</f>
        <v>3.7037037037037035E-2</v>
      </c>
      <c r="D696" s="1" t="s">
        <v>30</v>
      </c>
      <c r="E696" s="91">
        <f t="shared" ref="E696:E698" si="112">G696+I696+K696</f>
        <v>262580</v>
      </c>
      <c r="F696" s="91">
        <f t="shared" ref="F696:F698" si="113">H696+J696+L696</f>
        <v>9725</v>
      </c>
      <c r="G696" s="91">
        <f>노임!B16</f>
        <v>262580</v>
      </c>
      <c r="H696" s="91">
        <f>INT(C696*G696)</f>
        <v>9725</v>
      </c>
      <c r="I696" s="91"/>
      <c r="J696" s="91">
        <f>INT(C696*I696)</f>
        <v>0</v>
      </c>
      <c r="K696" s="91"/>
      <c r="L696" s="91">
        <f>INT(C696*K696)</f>
        <v>0</v>
      </c>
    </row>
    <row r="697" spans="1:13" ht="15" customHeight="1">
      <c r="A697" s="129" t="s">
        <v>27</v>
      </c>
      <c r="B697" s="129" t="s">
        <v>2734</v>
      </c>
      <c r="C697" s="73">
        <f>1/9*1/6</f>
        <v>1.8518518518518517E-2</v>
      </c>
      <c r="D697" s="1" t="s">
        <v>30</v>
      </c>
      <c r="E697" s="91">
        <f t="shared" si="112"/>
        <v>172068</v>
      </c>
      <c r="F697" s="91">
        <f t="shared" si="113"/>
        <v>3186</v>
      </c>
      <c r="G697" s="91">
        <f>노임!D14</f>
        <v>172068</v>
      </c>
      <c r="H697" s="91">
        <f>INT(C697*G697)</f>
        <v>3186</v>
      </c>
      <c r="I697" s="91"/>
      <c r="J697" s="91">
        <f>INT(C697*I697)</f>
        <v>0</v>
      </c>
      <c r="K697" s="91"/>
      <c r="L697" s="91">
        <f>INT(C697*K697)</f>
        <v>0</v>
      </c>
    </row>
    <row r="698" spans="1:13" ht="15" customHeight="1">
      <c r="A698" s="129" t="s">
        <v>2196</v>
      </c>
      <c r="B698" s="129" t="s">
        <v>2732</v>
      </c>
      <c r="C698" s="73">
        <v>0.14000000000000001</v>
      </c>
      <c r="D698" s="1" t="s">
        <v>416</v>
      </c>
      <c r="E698" s="91">
        <f t="shared" si="112"/>
        <v>12911</v>
      </c>
      <c r="F698" s="91">
        <f t="shared" si="113"/>
        <v>1807</v>
      </c>
      <c r="G698" s="91">
        <v>0</v>
      </c>
      <c r="H698" s="91">
        <f>INT(C698*G698)</f>
        <v>0</v>
      </c>
      <c r="I698" s="91">
        <f>I702</f>
        <v>0</v>
      </c>
      <c r="J698" s="91">
        <f>INT(C698*I698)</f>
        <v>0</v>
      </c>
      <c r="K698" s="91">
        <f>F696+F697</f>
        <v>12911</v>
      </c>
      <c r="L698" s="91">
        <f>INT(C698*K698)</f>
        <v>1807</v>
      </c>
    </row>
    <row r="699" spans="1:13" ht="15" customHeight="1">
      <c r="A699" s="129" t="s">
        <v>617</v>
      </c>
      <c r="B699" s="126"/>
      <c r="C699" s="129"/>
      <c r="D699" s="1"/>
      <c r="E699" s="301"/>
      <c r="F699" s="301">
        <f>H699+J699+L699</f>
        <v>24948</v>
      </c>
      <c r="G699" s="301"/>
      <c r="H699" s="301">
        <f>SUM(H695:H698)</f>
        <v>12911</v>
      </c>
      <c r="I699" s="301"/>
      <c r="J699" s="301">
        <f>SUM(J695:J698)</f>
        <v>10230</v>
      </c>
      <c r="K699" s="301"/>
      <c r="L699" s="301">
        <f>SUM(L695:L698)</f>
        <v>1807</v>
      </c>
    </row>
    <row r="700" spans="1:13" ht="15" customHeight="1">
      <c r="A700" s="209"/>
      <c r="B700" s="210"/>
      <c r="C700" s="95"/>
      <c r="D700" s="211"/>
      <c r="E700" s="515">
        <f>E694+1</f>
        <v>2</v>
      </c>
      <c r="F700" s="297" t="s">
        <v>2729</v>
      </c>
      <c r="G700" s="95"/>
      <c r="H700" s="298"/>
      <c r="I700" s="299"/>
      <c r="J700" s="298" t="s">
        <v>1071</v>
      </c>
      <c r="K700" s="299"/>
      <c r="L700" s="300"/>
      <c r="M700" s="10" t="s">
        <v>1875</v>
      </c>
    </row>
    <row r="701" spans="1:13" ht="15" customHeight="1">
      <c r="A701" s="129" t="s">
        <v>1846</v>
      </c>
      <c r="B701" s="129" t="s">
        <v>1553</v>
      </c>
      <c r="C701" s="421">
        <v>1</v>
      </c>
      <c r="D701" s="1" t="s">
        <v>640</v>
      </c>
      <c r="E701" s="91" t="s">
        <v>1692</v>
      </c>
      <c r="F701" s="91" t="s">
        <v>1692</v>
      </c>
      <c r="G701" s="513"/>
      <c r="H701" s="513" t="s">
        <v>1692</v>
      </c>
      <c r="I701" s="514">
        <v>21000</v>
      </c>
      <c r="J701" s="91">
        <f>INT(I701*C701)</f>
        <v>21000</v>
      </c>
      <c r="K701" s="91">
        <v>0</v>
      </c>
      <c r="L701" s="91">
        <f>INT(C701*K701)</f>
        <v>0</v>
      </c>
    </row>
    <row r="702" spans="1:13" ht="15" customHeight="1">
      <c r="A702" s="129" t="s">
        <v>1549</v>
      </c>
      <c r="B702" s="129" t="s">
        <v>2735</v>
      </c>
      <c r="C702" s="73">
        <f>0.286/6</f>
        <v>4.7666666666666663E-2</v>
      </c>
      <c r="D702" s="1" t="s">
        <v>30</v>
      </c>
      <c r="E702" s="91">
        <f t="shared" ref="E702:E704" si="114">G702+I702+K702</f>
        <v>262580</v>
      </c>
      <c r="F702" s="91">
        <f t="shared" ref="F702:F704" si="115">H702+J702+L702</f>
        <v>12516</v>
      </c>
      <c r="G702" s="91">
        <f>노임!B16</f>
        <v>262580</v>
      </c>
      <c r="H702" s="91">
        <f>INT(C702*G702)</f>
        <v>12516</v>
      </c>
      <c r="I702" s="91"/>
      <c r="J702" s="91">
        <f>INT(C702*I702)</f>
        <v>0</v>
      </c>
      <c r="K702" s="91"/>
      <c r="L702" s="91">
        <f>INT(C702*K702)</f>
        <v>0</v>
      </c>
    </row>
    <row r="703" spans="1:13" ht="15" customHeight="1">
      <c r="A703" s="129" t="s">
        <v>27</v>
      </c>
      <c r="B703" s="129" t="s">
        <v>2736</v>
      </c>
      <c r="C703" s="73">
        <f>0.143/6</f>
        <v>2.3833333333333331E-2</v>
      </c>
      <c r="D703" s="1" t="s">
        <v>30</v>
      </c>
      <c r="E703" s="91">
        <f t="shared" si="114"/>
        <v>172068</v>
      </c>
      <c r="F703" s="91">
        <f t="shared" si="115"/>
        <v>4100</v>
      </c>
      <c r="G703" s="91">
        <f>노임!D14</f>
        <v>172068</v>
      </c>
      <c r="H703" s="91">
        <f>INT(C703*G703)</f>
        <v>4100</v>
      </c>
      <c r="I703" s="91"/>
      <c r="J703" s="91">
        <f>INT(C703*I703)</f>
        <v>0</v>
      </c>
      <c r="K703" s="91"/>
      <c r="L703" s="91">
        <f>INT(C703*K703)</f>
        <v>0</v>
      </c>
    </row>
    <row r="704" spans="1:13" ht="15" customHeight="1">
      <c r="A704" s="129" t="s">
        <v>2196</v>
      </c>
      <c r="B704" s="129" t="s">
        <v>2732</v>
      </c>
      <c r="C704" s="73">
        <v>0.14000000000000001</v>
      </c>
      <c r="D704" s="1" t="s">
        <v>416</v>
      </c>
      <c r="E704" s="91">
        <f t="shared" si="114"/>
        <v>16616</v>
      </c>
      <c r="F704" s="91">
        <f t="shared" si="115"/>
        <v>2326</v>
      </c>
      <c r="G704" s="91">
        <v>0</v>
      </c>
      <c r="H704" s="91">
        <f>INT(C704*G704)</f>
        <v>0</v>
      </c>
      <c r="I704" s="91">
        <v>0</v>
      </c>
      <c r="J704" s="91">
        <f>INT(C704*I704)</f>
        <v>0</v>
      </c>
      <c r="K704" s="91">
        <f>F702+F703</f>
        <v>16616</v>
      </c>
      <c r="L704" s="91">
        <f>INT(C704*K704)</f>
        <v>2326</v>
      </c>
    </row>
    <row r="705" spans="1:13" ht="15" customHeight="1">
      <c r="A705" s="129" t="s">
        <v>617</v>
      </c>
      <c r="B705" s="126"/>
      <c r="C705" s="129"/>
      <c r="D705" s="1"/>
      <c r="E705" s="301"/>
      <c r="F705" s="301">
        <f>H705+J705+L705</f>
        <v>39942</v>
      </c>
      <c r="G705" s="301"/>
      <c r="H705" s="301">
        <f>SUM(H701:H704)</f>
        <v>16616</v>
      </c>
      <c r="I705" s="301"/>
      <c r="J705" s="301">
        <f>SUM(J701:J704)</f>
        <v>21000</v>
      </c>
      <c r="K705" s="301"/>
      <c r="L705" s="301">
        <f>SUM(L701:L704)</f>
        <v>2326</v>
      </c>
    </row>
    <row r="706" spans="1:13" ht="15" customHeight="1">
      <c r="A706" s="209"/>
      <c r="B706" s="210"/>
      <c r="C706" s="95"/>
      <c r="D706" s="211"/>
      <c r="E706" s="515">
        <f>E700+1</f>
        <v>3</v>
      </c>
      <c r="F706" s="297" t="s">
        <v>2730</v>
      </c>
      <c r="G706" s="95"/>
      <c r="H706" s="298"/>
      <c r="I706" s="299"/>
      <c r="J706" s="298" t="s">
        <v>1071</v>
      </c>
      <c r="K706" s="299"/>
      <c r="L706" s="300"/>
      <c r="M706" s="10" t="s">
        <v>1875</v>
      </c>
    </row>
    <row r="707" spans="1:13" ht="15" customHeight="1">
      <c r="A707" s="129" t="s">
        <v>1846</v>
      </c>
      <c r="B707" s="129" t="s">
        <v>747</v>
      </c>
      <c r="C707" s="421">
        <v>1</v>
      </c>
      <c r="D707" s="1" t="s">
        <v>640</v>
      </c>
      <c r="E707" s="91" t="s">
        <v>1692</v>
      </c>
      <c r="F707" s="91" t="s">
        <v>1692</v>
      </c>
      <c r="G707" s="513"/>
      <c r="H707" s="513" t="s">
        <v>1692</v>
      </c>
      <c r="I707" s="514">
        <v>43000</v>
      </c>
      <c r="J707" s="91">
        <f>INT(I707*C707)</f>
        <v>43000</v>
      </c>
      <c r="K707" s="91">
        <v>0</v>
      </c>
      <c r="L707" s="91">
        <f>INT(C707*K707)</f>
        <v>0</v>
      </c>
    </row>
    <row r="708" spans="1:13" ht="15" customHeight="1">
      <c r="A708" s="129" t="s">
        <v>1549</v>
      </c>
      <c r="B708" s="129" t="s">
        <v>2737</v>
      </c>
      <c r="C708" s="73">
        <f>0.364/6</f>
        <v>6.0666666666666667E-2</v>
      </c>
      <c r="D708" s="1" t="s">
        <v>30</v>
      </c>
      <c r="E708" s="91">
        <f t="shared" ref="E708:E710" si="116">G708+I708+K708</f>
        <v>262580</v>
      </c>
      <c r="F708" s="91">
        <f t="shared" ref="F708:F710" si="117">H708+J708+L708</f>
        <v>15929</v>
      </c>
      <c r="G708" s="91">
        <f>노임!B16</f>
        <v>262580</v>
      </c>
      <c r="H708" s="91">
        <f>INT(C708*G708)</f>
        <v>15929</v>
      </c>
      <c r="I708" s="91"/>
      <c r="J708" s="91">
        <f>INT(C708*I708)</f>
        <v>0</v>
      </c>
      <c r="K708" s="91"/>
      <c r="L708" s="91">
        <f>INT(C708*K708)</f>
        <v>0</v>
      </c>
    </row>
    <row r="709" spans="1:13" ht="15" customHeight="1">
      <c r="A709" s="129" t="s">
        <v>27</v>
      </c>
      <c r="B709" s="129" t="s">
        <v>2738</v>
      </c>
      <c r="C709" s="73">
        <f>0.182/6</f>
        <v>3.0333333333333334E-2</v>
      </c>
      <c r="D709" s="1" t="s">
        <v>30</v>
      </c>
      <c r="E709" s="91">
        <f t="shared" si="116"/>
        <v>172068</v>
      </c>
      <c r="F709" s="91">
        <f t="shared" si="117"/>
        <v>5219</v>
      </c>
      <c r="G709" s="91">
        <f>노임!D14</f>
        <v>172068</v>
      </c>
      <c r="H709" s="91">
        <f>INT(C709*G709)</f>
        <v>5219</v>
      </c>
      <c r="I709" s="91"/>
      <c r="J709" s="91">
        <f>INT(C709*I709)</f>
        <v>0</v>
      </c>
      <c r="K709" s="91"/>
      <c r="L709" s="91">
        <f>INT(C709*K709)</f>
        <v>0</v>
      </c>
    </row>
    <row r="710" spans="1:13" ht="15" customHeight="1">
      <c r="A710" s="129" t="s">
        <v>2196</v>
      </c>
      <c r="B710" s="129" t="s">
        <v>2337</v>
      </c>
      <c r="C710" s="73">
        <v>0.15</v>
      </c>
      <c r="D710" s="1" t="s">
        <v>416</v>
      </c>
      <c r="E710" s="91">
        <f t="shared" si="116"/>
        <v>21148</v>
      </c>
      <c r="F710" s="91">
        <f t="shared" si="117"/>
        <v>3172</v>
      </c>
      <c r="G710" s="91">
        <v>0</v>
      </c>
      <c r="H710" s="91">
        <f>INT(C710*G710)</f>
        <v>0</v>
      </c>
      <c r="I710" s="91">
        <f>I720</f>
        <v>0</v>
      </c>
      <c r="J710" s="91">
        <f>INT(C710*I710)</f>
        <v>0</v>
      </c>
      <c r="K710" s="91">
        <f>F708+F709</f>
        <v>21148</v>
      </c>
      <c r="L710" s="91">
        <f>INT(C710*K710)</f>
        <v>3172</v>
      </c>
    </row>
    <row r="711" spans="1:13" ht="15" customHeight="1">
      <c r="A711" s="129" t="s">
        <v>617</v>
      </c>
      <c r="B711" s="126"/>
      <c r="C711" s="129"/>
      <c r="D711" s="1"/>
      <c r="E711" s="301"/>
      <c r="F711" s="301">
        <f>H711+J711+L711</f>
        <v>67320</v>
      </c>
      <c r="G711" s="301"/>
      <c r="H711" s="301">
        <f>SUM(H707:H710)</f>
        <v>21148</v>
      </c>
      <c r="I711" s="301"/>
      <c r="J711" s="301">
        <f>SUM(J707:J710)</f>
        <v>43000</v>
      </c>
      <c r="K711" s="301"/>
      <c r="L711" s="301">
        <f>SUM(L707:L710)</f>
        <v>3172</v>
      </c>
    </row>
    <row r="712" spans="1:13" ht="15" customHeight="1">
      <c r="A712" s="209"/>
      <c r="B712" s="210"/>
      <c r="C712" s="95"/>
      <c r="D712" s="211"/>
      <c r="E712" s="515">
        <f>E706+1</f>
        <v>4</v>
      </c>
      <c r="F712" s="297" t="s">
        <v>2731</v>
      </c>
      <c r="G712" s="95"/>
      <c r="H712" s="298"/>
      <c r="I712" s="299"/>
      <c r="J712" s="298" t="s">
        <v>1071</v>
      </c>
      <c r="K712" s="299"/>
      <c r="L712" s="300"/>
      <c r="M712" s="10" t="s">
        <v>1875</v>
      </c>
    </row>
    <row r="713" spans="1:13" ht="15" customHeight="1">
      <c r="A713" s="129" t="s">
        <v>1846</v>
      </c>
      <c r="B713" s="129" t="s">
        <v>2199</v>
      </c>
      <c r="C713" s="421">
        <v>1</v>
      </c>
      <c r="D713" s="1" t="s">
        <v>640</v>
      </c>
      <c r="E713" s="91" t="s">
        <v>1692</v>
      </c>
      <c r="F713" s="91" t="s">
        <v>1692</v>
      </c>
      <c r="G713" s="513"/>
      <c r="H713" s="513" t="s">
        <v>1692</v>
      </c>
      <c r="I713" s="514">
        <v>67590</v>
      </c>
      <c r="J713" s="91">
        <f>INT(I713*C713)</f>
        <v>67590</v>
      </c>
      <c r="K713" s="91">
        <v>0</v>
      </c>
      <c r="L713" s="91">
        <f>INT(C713*K713)</f>
        <v>0</v>
      </c>
    </row>
    <row r="714" spans="1:13" ht="15" customHeight="1">
      <c r="A714" s="129" t="s">
        <v>1549</v>
      </c>
      <c r="B714" s="129" t="s">
        <v>2739</v>
      </c>
      <c r="C714" s="73">
        <f>0.4/6</f>
        <v>6.6666666666666666E-2</v>
      </c>
      <c r="D714" s="1" t="s">
        <v>30</v>
      </c>
      <c r="E714" s="91">
        <f t="shared" ref="E714:E716" si="118">G714+I714+K714</f>
        <v>262580</v>
      </c>
      <c r="F714" s="91">
        <f t="shared" ref="F714:F716" si="119">H714+J714+L714</f>
        <v>17505</v>
      </c>
      <c r="G714" s="91">
        <f>노임!B16</f>
        <v>262580</v>
      </c>
      <c r="H714" s="91">
        <f>INT(C714*G714)</f>
        <v>17505</v>
      </c>
      <c r="I714" s="91"/>
      <c r="J714" s="91">
        <f>INT(C714*I714)</f>
        <v>0</v>
      </c>
      <c r="K714" s="91"/>
      <c r="L714" s="91">
        <f>INT(C714*K714)</f>
        <v>0</v>
      </c>
    </row>
    <row r="715" spans="1:13" ht="15" customHeight="1">
      <c r="A715" s="129" t="s">
        <v>27</v>
      </c>
      <c r="B715" s="129" t="s">
        <v>2740</v>
      </c>
      <c r="C715" s="73">
        <f>0.2/6</f>
        <v>3.3333333333333333E-2</v>
      </c>
      <c r="D715" s="1" t="s">
        <v>30</v>
      </c>
      <c r="E715" s="91">
        <f t="shared" si="118"/>
        <v>172068</v>
      </c>
      <c r="F715" s="91">
        <f t="shared" si="119"/>
        <v>5735</v>
      </c>
      <c r="G715" s="91">
        <f>노임!D14</f>
        <v>172068</v>
      </c>
      <c r="H715" s="91">
        <f>INT(C715*G715)</f>
        <v>5735</v>
      </c>
      <c r="I715" s="91"/>
      <c r="J715" s="91">
        <f>INT(C715*I715)</f>
        <v>0</v>
      </c>
      <c r="K715" s="91"/>
      <c r="L715" s="91">
        <f>INT(C715*K715)</f>
        <v>0</v>
      </c>
    </row>
    <row r="716" spans="1:13" ht="15" customHeight="1">
      <c r="A716" s="129" t="s">
        <v>2196</v>
      </c>
      <c r="B716" s="129" t="s">
        <v>2337</v>
      </c>
      <c r="C716" s="73">
        <v>0.15</v>
      </c>
      <c r="D716" s="1" t="s">
        <v>416</v>
      </c>
      <c r="E716" s="91">
        <f t="shared" si="118"/>
        <v>23240</v>
      </c>
      <c r="F716" s="91">
        <f t="shared" si="119"/>
        <v>3486</v>
      </c>
      <c r="G716" s="91">
        <v>0</v>
      </c>
      <c r="H716" s="91">
        <f>INT(C716*G716)</f>
        <v>0</v>
      </c>
      <c r="I716" s="91">
        <f>I726</f>
        <v>0</v>
      </c>
      <c r="J716" s="91">
        <f>INT(C716*I716)</f>
        <v>0</v>
      </c>
      <c r="K716" s="91">
        <f>F714+F715</f>
        <v>23240</v>
      </c>
      <c r="L716" s="91">
        <f>INT(C716*K716)</f>
        <v>3486</v>
      </c>
    </row>
    <row r="717" spans="1:13" ht="15" customHeight="1">
      <c r="A717" s="129" t="s">
        <v>617</v>
      </c>
      <c r="B717" s="126"/>
      <c r="C717" s="129"/>
      <c r="D717" s="1"/>
      <c r="E717" s="301"/>
      <c r="F717" s="301">
        <f>H717+J717+L717</f>
        <v>94316</v>
      </c>
      <c r="G717" s="301"/>
      <c r="H717" s="301">
        <f>SUM(H713:H716)</f>
        <v>23240</v>
      </c>
      <c r="I717" s="301"/>
      <c r="J717" s="301">
        <f>SUM(J713:J716)</f>
        <v>67590</v>
      </c>
      <c r="K717" s="301"/>
      <c r="L717" s="301">
        <f>SUM(L713:L716)</f>
        <v>3486</v>
      </c>
    </row>
    <row r="718" spans="1:13" ht="15" customHeight="1">
      <c r="A718" s="973"/>
      <c r="B718" s="974"/>
      <c r="C718" s="975"/>
      <c r="D718" s="976"/>
      <c r="E718" s="515">
        <f>E673+1</f>
        <v>2</v>
      </c>
      <c r="F718" s="297" t="s">
        <v>2691</v>
      </c>
      <c r="G718" s="975"/>
      <c r="H718" s="298"/>
      <c r="I718" s="299"/>
      <c r="J718" s="298" t="s">
        <v>31</v>
      </c>
      <c r="K718" s="299"/>
      <c r="L718" s="300"/>
    </row>
    <row r="719" spans="1:13" ht="15" customHeight="1">
      <c r="A719" s="129" t="s">
        <v>2692</v>
      </c>
      <c r="B719" s="129" t="s">
        <v>2693</v>
      </c>
      <c r="C719" s="421">
        <v>1</v>
      </c>
      <c r="D719" s="1" t="s">
        <v>1874</v>
      </c>
      <c r="E719" s="91">
        <f>SUM(G719,I719,K719)</f>
        <v>5026</v>
      </c>
      <c r="F719" s="91">
        <f>H719+J719+L719</f>
        <v>5026</v>
      </c>
      <c r="G719" s="91">
        <f>기초단위당!H17</f>
        <v>3640</v>
      </c>
      <c r="H719" s="91">
        <f>INT(C719*G719)</f>
        <v>3640</v>
      </c>
      <c r="I719" s="91">
        <f>기초단위당!I17</f>
        <v>589</v>
      </c>
      <c r="J719" s="91">
        <f>INT(C719*I719)</f>
        <v>589</v>
      </c>
      <c r="K719" s="91">
        <f>기초단위당!J17</f>
        <v>797</v>
      </c>
      <c r="L719" s="91">
        <f>INT(C719*K719)</f>
        <v>797</v>
      </c>
    </row>
    <row r="720" spans="1:13" ht="15" customHeight="1">
      <c r="A720" s="129"/>
      <c r="B720" s="129"/>
      <c r="C720" s="73"/>
      <c r="D720" s="1"/>
      <c r="E720" s="91"/>
      <c r="F720" s="91"/>
      <c r="G720" s="91"/>
      <c r="H720" s="91"/>
      <c r="I720" s="91"/>
      <c r="J720" s="91"/>
      <c r="K720" s="91"/>
      <c r="L720" s="91"/>
    </row>
    <row r="721" spans="1:12" ht="15" customHeight="1">
      <c r="A721" s="129"/>
      <c r="B721" s="129"/>
      <c r="C721" s="73"/>
      <c r="D721" s="1"/>
      <c r="E721" s="91"/>
      <c r="F721" s="91"/>
      <c r="G721" s="91"/>
      <c r="H721" s="91"/>
      <c r="I721" s="91"/>
      <c r="J721" s="91"/>
      <c r="K721" s="91"/>
      <c r="L721" s="91"/>
    </row>
    <row r="722" spans="1:12" ht="15" customHeight="1">
      <c r="A722" s="977" t="s">
        <v>53</v>
      </c>
      <c r="B722" s="978"/>
      <c r="C722" s="977"/>
      <c r="D722" s="979"/>
      <c r="E722" s="301"/>
      <c r="F722" s="301">
        <f>H722+J722+L722</f>
        <v>5026</v>
      </c>
      <c r="G722" s="301"/>
      <c r="H722" s="301">
        <f>SUM(H719:H721)</f>
        <v>3640</v>
      </c>
      <c r="I722" s="301"/>
      <c r="J722" s="301">
        <f>SUM(J719:J721)</f>
        <v>589</v>
      </c>
      <c r="K722" s="301"/>
      <c r="L722" s="301">
        <f>SUM(L719:L721)</f>
        <v>797</v>
      </c>
    </row>
  </sheetData>
  <customSheetViews>
    <customSheetView guid="{D73D5080-A04E-11D4-B8A5-00609727EAB1}" scale="60" showPageBreaks="1" view="pageBreakPreview" showRuler="0" topLeftCell="A277">
      <selection activeCell="E283" sqref="E283"/>
      <pageMargins left="0.32" right="0.25" top="1" bottom="1" header="0.5" footer="0.5"/>
      <pageSetup paperSize="9" orientation="landscape" horizontalDpi="300" verticalDpi="300" r:id="rId1"/>
      <headerFooter alignWithMargins="0"/>
    </customSheetView>
    <customSheetView guid="{2D877E0D-A04C-11D4-947E-00001C044B2C}" showRuler="0" topLeftCell="A1095">
      <selection activeCell="C1097" sqref="C1097"/>
      <pageMargins left="0.32" right="0.25" top="1" bottom="1" header="0.5" footer="0.5"/>
      <pageSetup paperSize="9" orientation="landscape" horizontalDpi="300" verticalDpi="300" r:id="rId2"/>
      <headerFooter alignWithMargins="0"/>
    </customSheetView>
    <customSheetView guid="{6F21C780-A002-11D4-A1D9-00104BD549C6}" showRuler="0" topLeftCell="A1095">
      <selection activeCell="E1104" sqref="E1104"/>
      <pageMargins left="0.32" right="0.25" top="1" bottom="1" header="0.5" footer="0.5"/>
      <pageSetup paperSize="9" orientation="landscape" horizontalDpi="300" verticalDpi="300" r:id="rId3"/>
      <headerFooter alignWithMargins="0"/>
    </customSheetView>
  </customSheetViews>
  <mergeCells count="3">
    <mergeCell ref="A2:A3"/>
    <mergeCell ref="C2:C3"/>
    <mergeCell ref="F460:H460"/>
  </mergeCells>
  <phoneticPr fontId="3" type="noConversion"/>
  <printOptions horizontalCentered="1"/>
  <pageMargins left="0.52" right="0.47244094488188981" top="0.81" bottom="0.55118110236220474" header="0.52" footer="0"/>
  <pageSetup paperSize="9" scale="81" orientation="landscape" r:id="rId4"/>
  <headerFooter alignWithMargins="0"/>
  <rowBreaks count="4" manualBreakCount="4">
    <brk id="156" max="11" man="1"/>
    <brk id="555" max="11" man="1"/>
    <brk id="590" max="11" man="1"/>
    <brk id="655" max="11" man="1"/>
  </rowBreaks>
  <drawing r:id="rId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B1:DB107"/>
  <sheetViews>
    <sheetView view="pageBreakPreview" zoomScaleNormal="100" zoomScaleSheetLayoutView="100" workbookViewId="0">
      <pane ySplit="3" topLeftCell="A119" activePane="bottomLeft" state="frozen"/>
      <selection pane="bottomLeft" activeCell="DD139" sqref="DD139"/>
    </sheetView>
  </sheetViews>
  <sheetFormatPr defaultRowHeight="12.75"/>
  <cols>
    <col min="1" max="1" width="0.5546875" style="952" customWidth="1"/>
    <col min="2" max="95" width="0.77734375" style="952" customWidth="1"/>
    <col min="96" max="96" width="0.44140625" style="952" customWidth="1"/>
    <col min="97" max="101" width="0.77734375" style="952" customWidth="1"/>
    <col min="102" max="102" width="7.88671875" style="952" customWidth="1"/>
    <col min="103" max="104" width="6.44140625" style="952" customWidth="1"/>
    <col min="105" max="105" width="6.21875" style="952" customWidth="1"/>
    <col min="106" max="256" width="8.88671875" style="952"/>
    <col min="257" max="257" width="0.5546875" style="952" customWidth="1"/>
    <col min="258" max="351" width="0.77734375" style="952" customWidth="1"/>
    <col min="352" max="352" width="0.44140625" style="952" customWidth="1"/>
    <col min="353" max="357" width="0.77734375" style="952" customWidth="1"/>
    <col min="358" max="358" width="7.88671875" style="952" customWidth="1"/>
    <col min="359" max="360" width="6.44140625" style="952" customWidth="1"/>
    <col min="361" max="361" width="6.21875" style="952" customWidth="1"/>
    <col min="362" max="512" width="8.88671875" style="952"/>
    <col min="513" max="513" width="0.5546875" style="952" customWidth="1"/>
    <col min="514" max="607" width="0.77734375" style="952" customWidth="1"/>
    <col min="608" max="608" width="0.44140625" style="952" customWidth="1"/>
    <col min="609" max="613" width="0.77734375" style="952" customWidth="1"/>
    <col min="614" max="614" width="7.88671875" style="952" customWidth="1"/>
    <col min="615" max="616" width="6.44140625" style="952" customWidth="1"/>
    <col min="617" max="617" width="6.21875" style="952" customWidth="1"/>
    <col min="618" max="768" width="8.88671875" style="952"/>
    <col min="769" max="769" width="0.5546875" style="952" customWidth="1"/>
    <col min="770" max="863" width="0.77734375" style="952" customWidth="1"/>
    <col min="864" max="864" width="0.44140625" style="952" customWidth="1"/>
    <col min="865" max="869" width="0.77734375" style="952" customWidth="1"/>
    <col min="870" max="870" width="7.88671875" style="952" customWidth="1"/>
    <col min="871" max="872" width="6.44140625" style="952" customWidth="1"/>
    <col min="873" max="873" width="6.21875" style="952" customWidth="1"/>
    <col min="874" max="1024" width="8.88671875" style="952"/>
    <col min="1025" max="1025" width="0.5546875" style="952" customWidth="1"/>
    <col min="1026" max="1119" width="0.77734375" style="952" customWidth="1"/>
    <col min="1120" max="1120" width="0.44140625" style="952" customWidth="1"/>
    <col min="1121" max="1125" width="0.77734375" style="952" customWidth="1"/>
    <col min="1126" max="1126" width="7.88671875" style="952" customWidth="1"/>
    <col min="1127" max="1128" width="6.44140625" style="952" customWidth="1"/>
    <col min="1129" max="1129" width="6.21875" style="952" customWidth="1"/>
    <col min="1130" max="1280" width="8.88671875" style="952"/>
    <col min="1281" max="1281" width="0.5546875" style="952" customWidth="1"/>
    <col min="1282" max="1375" width="0.77734375" style="952" customWidth="1"/>
    <col min="1376" max="1376" width="0.44140625" style="952" customWidth="1"/>
    <col min="1377" max="1381" width="0.77734375" style="952" customWidth="1"/>
    <col min="1382" max="1382" width="7.88671875" style="952" customWidth="1"/>
    <col min="1383" max="1384" width="6.44140625" style="952" customWidth="1"/>
    <col min="1385" max="1385" width="6.21875" style="952" customWidth="1"/>
    <col min="1386" max="1536" width="8.88671875" style="952"/>
    <col min="1537" max="1537" width="0.5546875" style="952" customWidth="1"/>
    <col min="1538" max="1631" width="0.77734375" style="952" customWidth="1"/>
    <col min="1632" max="1632" width="0.44140625" style="952" customWidth="1"/>
    <col min="1633" max="1637" width="0.77734375" style="952" customWidth="1"/>
    <col min="1638" max="1638" width="7.88671875" style="952" customWidth="1"/>
    <col min="1639" max="1640" width="6.44140625" style="952" customWidth="1"/>
    <col min="1641" max="1641" width="6.21875" style="952" customWidth="1"/>
    <col min="1642" max="1792" width="8.88671875" style="952"/>
    <col min="1793" max="1793" width="0.5546875" style="952" customWidth="1"/>
    <col min="1794" max="1887" width="0.77734375" style="952" customWidth="1"/>
    <col min="1888" max="1888" width="0.44140625" style="952" customWidth="1"/>
    <col min="1889" max="1893" width="0.77734375" style="952" customWidth="1"/>
    <col min="1894" max="1894" width="7.88671875" style="952" customWidth="1"/>
    <col min="1895" max="1896" width="6.44140625" style="952" customWidth="1"/>
    <col min="1897" max="1897" width="6.21875" style="952" customWidth="1"/>
    <col min="1898" max="2048" width="8.88671875" style="952"/>
    <col min="2049" max="2049" width="0.5546875" style="952" customWidth="1"/>
    <col min="2050" max="2143" width="0.77734375" style="952" customWidth="1"/>
    <col min="2144" max="2144" width="0.44140625" style="952" customWidth="1"/>
    <col min="2145" max="2149" width="0.77734375" style="952" customWidth="1"/>
    <col min="2150" max="2150" width="7.88671875" style="952" customWidth="1"/>
    <col min="2151" max="2152" width="6.44140625" style="952" customWidth="1"/>
    <col min="2153" max="2153" width="6.21875" style="952" customWidth="1"/>
    <col min="2154" max="2304" width="8.88671875" style="952"/>
    <col min="2305" max="2305" width="0.5546875" style="952" customWidth="1"/>
    <col min="2306" max="2399" width="0.77734375" style="952" customWidth="1"/>
    <col min="2400" max="2400" width="0.44140625" style="952" customWidth="1"/>
    <col min="2401" max="2405" width="0.77734375" style="952" customWidth="1"/>
    <col min="2406" max="2406" width="7.88671875" style="952" customWidth="1"/>
    <col min="2407" max="2408" width="6.44140625" style="952" customWidth="1"/>
    <col min="2409" max="2409" width="6.21875" style="952" customWidth="1"/>
    <col min="2410" max="2560" width="8.88671875" style="952"/>
    <col min="2561" max="2561" width="0.5546875" style="952" customWidth="1"/>
    <col min="2562" max="2655" width="0.77734375" style="952" customWidth="1"/>
    <col min="2656" max="2656" width="0.44140625" style="952" customWidth="1"/>
    <col min="2657" max="2661" width="0.77734375" style="952" customWidth="1"/>
    <col min="2662" max="2662" width="7.88671875" style="952" customWidth="1"/>
    <col min="2663" max="2664" width="6.44140625" style="952" customWidth="1"/>
    <col min="2665" max="2665" width="6.21875" style="952" customWidth="1"/>
    <col min="2666" max="2816" width="8.88671875" style="952"/>
    <col min="2817" max="2817" width="0.5546875" style="952" customWidth="1"/>
    <col min="2818" max="2911" width="0.77734375" style="952" customWidth="1"/>
    <col min="2912" max="2912" width="0.44140625" style="952" customWidth="1"/>
    <col min="2913" max="2917" width="0.77734375" style="952" customWidth="1"/>
    <col min="2918" max="2918" width="7.88671875" style="952" customWidth="1"/>
    <col min="2919" max="2920" width="6.44140625" style="952" customWidth="1"/>
    <col min="2921" max="2921" width="6.21875" style="952" customWidth="1"/>
    <col min="2922" max="3072" width="8.88671875" style="952"/>
    <col min="3073" max="3073" width="0.5546875" style="952" customWidth="1"/>
    <col min="3074" max="3167" width="0.77734375" style="952" customWidth="1"/>
    <col min="3168" max="3168" width="0.44140625" style="952" customWidth="1"/>
    <col min="3169" max="3173" width="0.77734375" style="952" customWidth="1"/>
    <col min="3174" max="3174" width="7.88671875" style="952" customWidth="1"/>
    <col min="3175" max="3176" width="6.44140625" style="952" customWidth="1"/>
    <col min="3177" max="3177" width="6.21875" style="952" customWidth="1"/>
    <col min="3178" max="3328" width="8.88671875" style="952"/>
    <col min="3329" max="3329" width="0.5546875" style="952" customWidth="1"/>
    <col min="3330" max="3423" width="0.77734375" style="952" customWidth="1"/>
    <col min="3424" max="3424" width="0.44140625" style="952" customWidth="1"/>
    <col min="3425" max="3429" width="0.77734375" style="952" customWidth="1"/>
    <col min="3430" max="3430" width="7.88671875" style="952" customWidth="1"/>
    <col min="3431" max="3432" width="6.44140625" style="952" customWidth="1"/>
    <col min="3433" max="3433" width="6.21875" style="952" customWidth="1"/>
    <col min="3434" max="3584" width="8.88671875" style="952"/>
    <col min="3585" max="3585" width="0.5546875" style="952" customWidth="1"/>
    <col min="3586" max="3679" width="0.77734375" style="952" customWidth="1"/>
    <col min="3680" max="3680" width="0.44140625" style="952" customWidth="1"/>
    <col min="3681" max="3685" width="0.77734375" style="952" customWidth="1"/>
    <col min="3686" max="3686" width="7.88671875" style="952" customWidth="1"/>
    <col min="3687" max="3688" width="6.44140625" style="952" customWidth="1"/>
    <col min="3689" max="3689" width="6.21875" style="952" customWidth="1"/>
    <col min="3690" max="3840" width="8.88671875" style="952"/>
    <col min="3841" max="3841" width="0.5546875" style="952" customWidth="1"/>
    <col min="3842" max="3935" width="0.77734375" style="952" customWidth="1"/>
    <col min="3936" max="3936" width="0.44140625" style="952" customWidth="1"/>
    <col min="3937" max="3941" width="0.77734375" style="952" customWidth="1"/>
    <col min="3942" max="3942" width="7.88671875" style="952" customWidth="1"/>
    <col min="3943" max="3944" width="6.44140625" style="952" customWidth="1"/>
    <col min="3945" max="3945" width="6.21875" style="952" customWidth="1"/>
    <col min="3946" max="4096" width="8.88671875" style="952"/>
    <col min="4097" max="4097" width="0.5546875" style="952" customWidth="1"/>
    <col min="4098" max="4191" width="0.77734375" style="952" customWidth="1"/>
    <col min="4192" max="4192" width="0.44140625" style="952" customWidth="1"/>
    <col min="4193" max="4197" width="0.77734375" style="952" customWidth="1"/>
    <col min="4198" max="4198" width="7.88671875" style="952" customWidth="1"/>
    <col min="4199" max="4200" width="6.44140625" style="952" customWidth="1"/>
    <col min="4201" max="4201" width="6.21875" style="952" customWidth="1"/>
    <col min="4202" max="4352" width="8.88671875" style="952"/>
    <col min="4353" max="4353" width="0.5546875" style="952" customWidth="1"/>
    <col min="4354" max="4447" width="0.77734375" style="952" customWidth="1"/>
    <col min="4448" max="4448" width="0.44140625" style="952" customWidth="1"/>
    <col min="4449" max="4453" width="0.77734375" style="952" customWidth="1"/>
    <col min="4454" max="4454" width="7.88671875" style="952" customWidth="1"/>
    <col min="4455" max="4456" width="6.44140625" style="952" customWidth="1"/>
    <col min="4457" max="4457" width="6.21875" style="952" customWidth="1"/>
    <col min="4458" max="4608" width="8.88671875" style="952"/>
    <col min="4609" max="4609" width="0.5546875" style="952" customWidth="1"/>
    <col min="4610" max="4703" width="0.77734375" style="952" customWidth="1"/>
    <col min="4704" max="4704" width="0.44140625" style="952" customWidth="1"/>
    <col min="4705" max="4709" width="0.77734375" style="952" customWidth="1"/>
    <col min="4710" max="4710" width="7.88671875" style="952" customWidth="1"/>
    <col min="4711" max="4712" width="6.44140625" style="952" customWidth="1"/>
    <col min="4713" max="4713" width="6.21875" style="952" customWidth="1"/>
    <col min="4714" max="4864" width="8.88671875" style="952"/>
    <col min="4865" max="4865" width="0.5546875" style="952" customWidth="1"/>
    <col min="4866" max="4959" width="0.77734375" style="952" customWidth="1"/>
    <col min="4960" max="4960" width="0.44140625" style="952" customWidth="1"/>
    <col min="4961" max="4965" width="0.77734375" style="952" customWidth="1"/>
    <col min="4966" max="4966" width="7.88671875" style="952" customWidth="1"/>
    <col min="4967" max="4968" width="6.44140625" style="952" customWidth="1"/>
    <col min="4969" max="4969" width="6.21875" style="952" customWidth="1"/>
    <col min="4970" max="5120" width="8.88671875" style="952"/>
    <col min="5121" max="5121" width="0.5546875" style="952" customWidth="1"/>
    <col min="5122" max="5215" width="0.77734375" style="952" customWidth="1"/>
    <col min="5216" max="5216" width="0.44140625" style="952" customWidth="1"/>
    <col min="5217" max="5221" width="0.77734375" style="952" customWidth="1"/>
    <col min="5222" max="5222" width="7.88671875" style="952" customWidth="1"/>
    <col min="5223" max="5224" width="6.44140625" style="952" customWidth="1"/>
    <col min="5225" max="5225" width="6.21875" style="952" customWidth="1"/>
    <col min="5226" max="5376" width="8.88671875" style="952"/>
    <col min="5377" max="5377" width="0.5546875" style="952" customWidth="1"/>
    <col min="5378" max="5471" width="0.77734375" style="952" customWidth="1"/>
    <col min="5472" max="5472" width="0.44140625" style="952" customWidth="1"/>
    <col min="5473" max="5477" width="0.77734375" style="952" customWidth="1"/>
    <col min="5478" max="5478" width="7.88671875" style="952" customWidth="1"/>
    <col min="5479" max="5480" width="6.44140625" style="952" customWidth="1"/>
    <col min="5481" max="5481" width="6.21875" style="952" customWidth="1"/>
    <col min="5482" max="5632" width="8.88671875" style="952"/>
    <col min="5633" max="5633" width="0.5546875" style="952" customWidth="1"/>
    <col min="5634" max="5727" width="0.77734375" style="952" customWidth="1"/>
    <col min="5728" max="5728" width="0.44140625" style="952" customWidth="1"/>
    <col min="5729" max="5733" width="0.77734375" style="952" customWidth="1"/>
    <col min="5734" max="5734" width="7.88671875" style="952" customWidth="1"/>
    <col min="5735" max="5736" width="6.44140625" style="952" customWidth="1"/>
    <col min="5737" max="5737" width="6.21875" style="952" customWidth="1"/>
    <col min="5738" max="5888" width="8.88671875" style="952"/>
    <col min="5889" max="5889" width="0.5546875" style="952" customWidth="1"/>
    <col min="5890" max="5983" width="0.77734375" style="952" customWidth="1"/>
    <col min="5984" max="5984" width="0.44140625" style="952" customWidth="1"/>
    <col min="5985" max="5989" width="0.77734375" style="952" customWidth="1"/>
    <col min="5990" max="5990" width="7.88671875" style="952" customWidth="1"/>
    <col min="5991" max="5992" width="6.44140625" style="952" customWidth="1"/>
    <col min="5993" max="5993" width="6.21875" style="952" customWidth="1"/>
    <col min="5994" max="6144" width="8.88671875" style="952"/>
    <col min="6145" max="6145" width="0.5546875" style="952" customWidth="1"/>
    <col min="6146" max="6239" width="0.77734375" style="952" customWidth="1"/>
    <col min="6240" max="6240" width="0.44140625" style="952" customWidth="1"/>
    <col min="6241" max="6245" width="0.77734375" style="952" customWidth="1"/>
    <col min="6246" max="6246" width="7.88671875" style="952" customWidth="1"/>
    <col min="6247" max="6248" width="6.44140625" style="952" customWidth="1"/>
    <col min="6249" max="6249" width="6.21875" style="952" customWidth="1"/>
    <col min="6250" max="6400" width="8.88671875" style="952"/>
    <col min="6401" max="6401" width="0.5546875" style="952" customWidth="1"/>
    <col min="6402" max="6495" width="0.77734375" style="952" customWidth="1"/>
    <col min="6496" max="6496" width="0.44140625" style="952" customWidth="1"/>
    <col min="6497" max="6501" width="0.77734375" style="952" customWidth="1"/>
    <col min="6502" max="6502" width="7.88671875" style="952" customWidth="1"/>
    <col min="6503" max="6504" width="6.44140625" style="952" customWidth="1"/>
    <col min="6505" max="6505" width="6.21875" style="952" customWidth="1"/>
    <col min="6506" max="6656" width="8.88671875" style="952"/>
    <col min="6657" max="6657" width="0.5546875" style="952" customWidth="1"/>
    <col min="6658" max="6751" width="0.77734375" style="952" customWidth="1"/>
    <col min="6752" max="6752" width="0.44140625" style="952" customWidth="1"/>
    <col min="6753" max="6757" width="0.77734375" style="952" customWidth="1"/>
    <col min="6758" max="6758" width="7.88671875" style="952" customWidth="1"/>
    <col min="6759" max="6760" width="6.44140625" style="952" customWidth="1"/>
    <col min="6761" max="6761" width="6.21875" style="952" customWidth="1"/>
    <col min="6762" max="6912" width="8.88671875" style="952"/>
    <col min="6913" max="6913" width="0.5546875" style="952" customWidth="1"/>
    <col min="6914" max="7007" width="0.77734375" style="952" customWidth="1"/>
    <col min="7008" max="7008" width="0.44140625" style="952" customWidth="1"/>
    <col min="7009" max="7013" width="0.77734375" style="952" customWidth="1"/>
    <col min="7014" max="7014" width="7.88671875" style="952" customWidth="1"/>
    <col min="7015" max="7016" width="6.44140625" style="952" customWidth="1"/>
    <col min="7017" max="7017" width="6.21875" style="952" customWidth="1"/>
    <col min="7018" max="7168" width="8.88671875" style="952"/>
    <col min="7169" max="7169" width="0.5546875" style="952" customWidth="1"/>
    <col min="7170" max="7263" width="0.77734375" style="952" customWidth="1"/>
    <col min="7264" max="7264" width="0.44140625" style="952" customWidth="1"/>
    <col min="7265" max="7269" width="0.77734375" style="952" customWidth="1"/>
    <col min="7270" max="7270" width="7.88671875" style="952" customWidth="1"/>
    <col min="7271" max="7272" width="6.44140625" style="952" customWidth="1"/>
    <col min="7273" max="7273" width="6.21875" style="952" customWidth="1"/>
    <col min="7274" max="7424" width="8.88671875" style="952"/>
    <col min="7425" max="7425" width="0.5546875" style="952" customWidth="1"/>
    <col min="7426" max="7519" width="0.77734375" style="952" customWidth="1"/>
    <col min="7520" max="7520" width="0.44140625" style="952" customWidth="1"/>
    <col min="7521" max="7525" width="0.77734375" style="952" customWidth="1"/>
    <col min="7526" max="7526" width="7.88671875" style="952" customWidth="1"/>
    <col min="7527" max="7528" width="6.44140625" style="952" customWidth="1"/>
    <col min="7529" max="7529" width="6.21875" style="952" customWidth="1"/>
    <col min="7530" max="7680" width="8.88671875" style="952"/>
    <col min="7681" max="7681" width="0.5546875" style="952" customWidth="1"/>
    <col min="7682" max="7775" width="0.77734375" style="952" customWidth="1"/>
    <col min="7776" max="7776" width="0.44140625" style="952" customWidth="1"/>
    <col min="7777" max="7781" width="0.77734375" style="952" customWidth="1"/>
    <col min="7782" max="7782" width="7.88671875" style="952" customWidth="1"/>
    <col min="7783" max="7784" width="6.44140625" style="952" customWidth="1"/>
    <col min="7785" max="7785" width="6.21875" style="952" customWidth="1"/>
    <col min="7786" max="7936" width="8.88671875" style="952"/>
    <col min="7937" max="7937" width="0.5546875" style="952" customWidth="1"/>
    <col min="7938" max="8031" width="0.77734375" style="952" customWidth="1"/>
    <col min="8032" max="8032" width="0.44140625" style="952" customWidth="1"/>
    <col min="8033" max="8037" width="0.77734375" style="952" customWidth="1"/>
    <col min="8038" max="8038" width="7.88671875" style="952" customWidth="1"/>
    <col min="8039" max="8040" width="6.44140625" style="952" customWidth="1"/>
    <col min="8041" max="8041" width="6.21875" style="952" customWidth="1"/>
    <col min="8042" max="8192" width="8.88671875" style="952"/>
    <col min="8193" max="8193" width="0.5546875" style="952" customWidth="1"/>
    <col min="8194" max="8287" width="0.77734375" style="952" customWidth="1"/>
    <col min="8288" max="8288" width="0.44140625" style="952" customWidth="1"/>
    <col min="8289" max="8293" width="0.77734375" style="952" customWidth="1"/>
    <col min="8294" max="8294" width="7.88671875" style="952" customWidth="1"/>
    <col min="8295" max="8296" width="6.44140625" style="952" customWidth="1"/>
    <col min="8297" max="8297" width="6.21875" style="952" customWidth="1"/>
    <col min="8298" max="8448" width="8.88671875" style="952"/>
    <col min="8449" max="8449" width="0.5546875" style="952" customWidth="1"/>
    <col min="8450" max="8543" width="0.77734375" style="952" customWidth="1"/>
    <col min="8544" max="8544" width="0.44140625" style="952" customWidth="1"/>
    <col min="8545" max="8549" width="0.77734375" style="952" customWidth="1"/>
    <col min="8550" max="8550" width="7.88671875" style="952" customWidth="1"/>
    <col min="8551" max="8552" width="6.44140625" style="952" customWidth="1"/>
    <col min="8553" max="8553" width="6.21875" style="952" customWidth="1"/>
    <col min="8554" max="8704" width="8.88671875" style="952"/>
    <col min="8705" max="8705" width="0.5546875" style="952" customWidth="1"/>
    <col min="8706" max="8799" width="0.77734375" style="952" customWidth="1"/>
    <col min="8800" max="8800" width="0.44140625" style="952" customWidth="1"/>
    <col min="8801" max="8805" width="0.77734375" style="952" customWidth="1"/>
    <col min="8806" max="8806" width="7.88671875" style="952" customWidth="1"/>
    <col min="8807" max="8808" width="6.44140625" style="952" customWidth="1"/>
    <col min="8809" max="8809" width="6.21875" style="952" customWidth="1"/>
    <col min="8810" max="8960" width="8.88671875" style="952"/>
    <col min="8961" max="8961" width="0.5546875" style="952" customWidth="1"/>
    <col min="8962" max="9055" width="0.77734375" style="952" customWidth="1"/>
    <col min="9056" max="9056" width="0.44140625" style="952" customWidth="1"/>
    <col min="9057" max="9061" width="0.77734375" style="952" customWidth="1"/>
    <col min="9062" max="9062" width="7.88671875" style="952" customWidth="1"/>
    <col min="9063" max="9064" width="6.44140625" style="952" customWidth="1"/>
    <col min="9065" max="9065" width="6.21875" style="952" customWidth="1"/>
    <col min="9066" max="9216" width="8.88671875" style="952"/>
    <col min="9217" max="9217" width="0.5546875" style="952" customWidth="1"/>
    <col min="9218" max="9311" width="0.77734375" style="952" customWidth="1"/>
    <col min="9312" max="9312" width="0.44140625" style="952" customWidth="1"/>
    <col min="9313" max="9317" width="0.77734375" style="952" customWidth="1"/>
    <col min="9318" max="9318" width="7.88671875" style="952" customWidth="1"/>
    <col min="9319" max="9320" width="6.44140625" style="952" customWidth="1"/>
    <col min="9321" max="9321" width="6.21875" style="952" customWidth="1"/>
    <col min="9322" max="9472" width="8.88671875" style="952"/>
    <col min="9473" max="9473" width="0.5546875" style="952" customWidth="1"/>
    <col min="9474" max="9567" width="0.77734375" style="952" customWidth="1"/>
    <col min="9568" max="9568" width="0.44140625" style="952" customWidth="1"/>
    <col min="9569" max="9573" width="0.77734375" style="952" customWidth="1"/>
    <col min="9574" max="9574" width="7.88671875" style="952" customWidth="1"/>
    <col min="9575" max="9576" width="6.44140625" style="952" customWidth="1"/>
    <col min="9577" max="9577" width="6.21875" style="952" customWidth="1"/>
    <col min="9578" max="9728" width="8.88671875" style="952"/>
    <col min="9729" max="9729" width="0.5546875" style="952" customWidth="1"/>
    <col min="9730" max="9823" width="0.77734375" style="952" customWidth="1"/>
    <col min="9824" max="9824" width="0.44140625" style="952" customWidth="1"/>
    <col min="9825" max="9829" width="0.77734375" style="952" customWidth="1"/>
    <col min="9830" max="9830" width="7.88671875" style="952" customWidth="1"/>
    <col min="9831" max="9832" width="6.44140625" style="952" customWidth="1"/>
    <col min="9833" max="9833" width="6.21875" style="952" customWidth="1"/>
    <col min="9834" max="9984" width="8.88671875" style="952"/>
    <col min="9985" max="9985" width="0.5546875" style="952" customWidth="1"/>
    <col min="9986" max="10079" width="0.77734375" style="952" customWidth="1"/>
    <col min="10080" max="10080" width="0.44140625" style="952" customWidth="1"/>
    <col min="10081" max="10085" width="0.77734375" style="952" customWidth="1"/>
    <col min="10086" max="10086" width="7.88671875" style="952" customWidth="1"/>
    <col min="10087" max="10088" width="6.44140625" style="952" customWidth="1"/>
    <col min="10089" max="10089" width="6.21875" style="952" customWidth="1"/>
    <col min="10090" max="10240" width="8.88671875" style="952"/>
    <col min="10241" max="10241" width="0.5546875" style="952" customWidth="1"/>
    <col min="10242" max="10335" width="0.77734375" style="952" customWidth="1"/>
    <col min="10336" max="10336" width="0.44140625" style="952" customWidth="1"/>
    <col min="10337" max="10341" width="0.77734375" style="952" customWidth="1"/>
    <col min="10342" max="10342" width="7.88671875" style="952" customWidth="1"/>
    <col min="10343" max="10344" width="6.44140625" style="952" customWidth="1"/>
    <col min="10345" max="10345" width="6.21875" style="952" customWidth="1"/>
    <col min="10346" max="10496" width="8.88671875" style="952"/>
    <col min="10497" max="10497" width="0.5546875" style="952" customWidth="1"/>
    <col min="10498" max="10591" width="0.77734375" style="952" customWidth="1"/>
    <col min="10592" max="10592" width="0.44140625" style="952" customWidth="1"/>
    <col min="10593" max="10597" width="0.77734375" style="952" customWidth="1"/>
    <col min="10598" max="10598" width="7.88671875" style="952" customWidth="1"/>
    <col min="10599" max="10600" width="6.44140625" style="952" customWidth="1"/>
    <col min="10601" max="10601" width="6.21875" style="952" customWidth="1"/>
    <col min="10602" max="10752" width="8.88671875" style="952"/>
    <col min="10753" max="10753" width="0.5546875" style="952" customWidth="1"/>
    <col min="10754" max="10847" width="0.77734375" style="952" customWidth="1"/>
    <col min="10848" max="10848" width="0.44140625" style="952" customWidth="1"/>
    <col min="10849" max="10853" width="0.77734375" style="952" customWidth="1"/>
    <col min="10854" max="10854" width="7.88671875" style="952" customWidth="1"/>
    <col min="10855" max="10856" width="6.44140625" style="952" customWidth="1"/>
    <col min="10857" max="10857" width="6.21875" style="952" customWidth="1"/>
    <col min="10858" max="11008" width="8.88671875" style="952"/>
    <col min="11009" max="11009" width="0.5546875" style="952" customWidth="1"/>
    <col min="11010" max="11103" width="0.77734375" style="952" customWidth="1"/>
    <col min="11104" max="11104" width="0.44140625" style="952" customWidth="1"/>
    <col min="11105" max="11109" width="0.77734375" style="952" customWidth="1"/>
    <col min="11110" max="11110" width="7.88671875" style="952" customWidth="1"/>
    <col min="11111" max="11112" width="6.44140625" style="952" customWidth="1"/>
    <col min="11113" max="11113" width="6.21875" style="952" customWidth="1"/>
    <col min="11114" max="11264" width="8.88671875" style="952"/>
    <col min="11265" max="11265" width="0.5546875" style="952" customWidth="1"/>
    <col min="11266" max="11359" width="0.77734375" style="952" customWidth="1"/>
    <col min="11360" max="11360" width="0.44140625" style="952" customWidth="1"/>
    <col min="11361" max="11365" width="0.77734375" style="952" customWidth="1"/>
    <col min="11366" max="11366" width="7.88671875" style="952" customWidth="1"/>
    <col min="11367" max="11368" width="6.44140625" style="952" customWidth="1"/>
    <col min="11369" max="11369" width="6.21875" style="952" customWidth="1"/>
    <col min="11370" max="11520" width="8.88671875" style="952"/>
    <col min="11521" max="11521" width="0.5546875" style="952" customWidth="1"/>
    <col min="11522" max="11615" width="0.77734375" style="952" customWidth="1"/>
    <col min="11616" max="11616" width="0.44140625" style="952" customWidth="1"/>
    <col min="11617" max="11621" width="0.77734375" style="952" customWidth="1"/>
    <col min="11622" max="11622" width="7.88671875" style="952" customWidth="1"/>
    <col min="11623" max="11624" width="6.44140625" style="952" customWidth="1"/>
    <col min="11625" max="11625" width="6.21875" style="952" customWidth="1"/>
    <col min="11626" max="11776" width="8.88671875" style="952"/>
    <col min="11777" max="11777" width="0.5546875" style="952" customWidth="1"/>
    <col min="11778" max="11871" width="0.77734375" style="952" customWidth="1"/>
    <col min="11872" max="11872" width="0.44140625" style="952" customWidth="1"/>
    <col min="11873" max="11877" width="0.77734375" style="952" customWidth="1"/>
    <col min="11878" max="11878" width="7.88671875" style="952" customWidth="1"/>
    <col min="11879" max="11880" width="6.44140625" style="952" customWidth="1"/>
    <col min="11881" max="11881" width="6.21875" style="952" customWidth="1"/>
    <col min="11882" max="12032" width="8.88671875" style="952"/>
    <col min="12033" max="12033" width="0.5546875" style="952" customWidth="1"/>
    <col min="12034" max="12127" width="0.77734375" style="952" customWidth="1"/>
    <col min="12128" max="12128" width="0.44140625" style="952" customWidth="1"/>
    <col min="12129" max="12133" width="0.77734375" style="952" customWidth="1"/>
    <col min="12134" max="12134" width="7.88671875" style="952" customWidth="1"/>
    <col min="12135" max="12136" width="6.44140625" style="952" customWidth="1"/>
    <col min="12137" max="12137" width="6.21875" style="952" customWidth="1"/>
    <col min="12138" max="12288" width="8.88671875" style="952"/>
    <col min="12289" max="12289" width="0.5546875" style="952" customWidth="1"/>
    <col min="12290" max="12383" width="0.77734375" style="952" customWidth="1"/>
    <col min="12384" max="12384" width="0.44140625" style="952" customWidth="1"/>
    <col min="12385" max="12389" width="0.77734375" style="952" customWidth="1"/>
    <col min="12390" max="12390" width="7.88671875" style="952" customWidth="1"/>
    <col min="12391" max="12392" width="6.44140625" style="952" customWidth="1"/>
    <col min="12393" max="12393" width="6.21875" style="952" customWidth="1"/>
    <col min="12394" max="12544" width="8.88671875" style="952"/>
    <col min="12545" max="12545" width="0.5546875" style="952" customWidth="1"/>
    <col min="12546" max="12639" width="0.77734375" style="952" customWidth="1"/>
    <col min="12640" max="12640" width="0.44140625" style="952" customWidth="1"/>
    <col min="12641" max="12645" width="0.77734375" style="952" customWidth="1"/>
    <col min="12646" max="12646" width="7.88671875" style="952" customWidth="1"/>
    <col min="12647" max="12648" width="6.44140625" style="952" customWidth="1"/>
    <col min="12649" max="12649" width="6.21875" style="952" customWidth="1"/>
    <col min="12650" max="12800" width="8.88671875" style="952"/>
    <col min="12801" max="12801" width="0.5546875" style="952" customWidth="1"/>
    <col min="12802" max="12895" width="0.77734375" style="952" customWidth="1"/>
    <col min="12896" max="12896" width="0.44140625" style="952" customWidth="1"/>
    <col min="12897" max="12901" width="0.77734375" style="952" customWidth="1"/>
    <col min="12902" max="12902" width="7.88671875" style="952" customWidth="1"/>
    <col min="12903" max="12904" width="6.44140625" style="952" customWidth="1"/>
    <col min="12905" max="12905" width="6.21875" style="952" customWidth="1"/>
    <col min="12906" max="13056" width="8.88671875" style="952"/>
    <col min="13057" max="13057" width="0.5546875" style="952" customWidth="1"/>
    <col min="13058" max="13151" width="0.77734375" style="952" customWidth="1"/>
    <col min="13152" max="13152" width="0.44140625" style="952" customWidth="1"/>
    <col min="13153" max="13157" width="0.77734375" style="952" customWidth="1"/>
    <col min="13158" max="13158" width="7.88671875" style="952" customWidth="1"/>
    <col min="13159" max="13160" width="6.44140625" style="952" customWidth="1"/>
    <col min="13161" max="13161" width="6.21875" style="952" customWidth="1"/>
    <col min="13162" max="13312" width="8.88671875" style="952"/>
    <col min="13313" max="13313" width="0.5546875" style="952" customWidth="1"/>
    <col min="13314" max="13407" width="0.77734375" style="952" customWidth="1"/>
    <col min="13408" max="13408" width="0.44140625" style="952" customWidth="1"/>
    <col min="13409" max="13413" width="0.77734375" style="952" customWidth="1"/>
    <col min="13414" max="13414" width="7.88671875" style="952" customWidth="1"/>
    <col min="13415" max="13416" width="6.44140625" style="952" customWidth="1"/>
    <col min="13417" max="13417" width="6.21875" style="952" customWidth="1"/>
    <col min="13418" max="13568" width="8.88671875" style="952"/>
    <col min="13569" max="13569" width="0.5546875" style="952" customWidth="1"/>
    <col min="13570" max="13663" width="0.77734375" style="952" customWidth="1"/>
    <col min="13664" max="13664" width="0.44140625" style="952" customWidth="1"/>
    <col min="13665" max="13669" width="0.77734375" style="952" customWidth="1"/>
    <col min="13670" max="13670" width="7.88671875" style="952" customWidth="1"/>
    <col min="13671" max="13672" width="6.44140625" style="952" customWidth="1"/>
    <col min="13673" max="13673" width="6.21875" style="952" customWidth="1"/>
    <col min="13674" max="13824" width="8.88671875" style="952"/>
    <col min="13825" max="13825" width="0.5546875" style="952" customWidth="1"/>
    <col min="13826" max="13919" width="0.77734375" style="952" customWidth="1"/>
    <col min="13920" max="13920" width="0.44140625" style="952" customWidth="1"/>
    <col min="13921" max="13925" width="0.77734375" style="952" customWidth="1"/>
    <col min="13926" max="13926" width="7.88671875" style="952" customWidth="1"/>
    <col min="13927" max="13928" width="6.44140625" style="952" customWidth="1"/>
    <col min="13929" max="13929" width="6.21875" style="952" customWidth="1"/>
    <col min="13930" max="14080" width="8.88671875" style="952"/>
    <col min="14081" max="14081" width="0.5546875" style="952" customWidth="1"/>
    <col min="14082" max="14175" width="0.77734375" style="952" customWidth="1"/>
    <col min="14176" max="14176" width="0.44140625" style="952" customWidth="1"/>
    <col min="14177" max="14181" width="0.77734375" style="952" customWidth="1"/>
    <col min="14182" max="14182" width="7.88671875" style="952" customWidth="1"/>
    <col min="14183" max="14184" width="6.44140625" style="952" customWidth="1"/>
    <col min="14185" max="14185" width="6.21875" style="952" customWidth="1"/>
    <col min="14186" max="14336" width="8.88671875" style="952"/>
    <col min="14337" max="14337" width="0.5546875" style="952" customWidth="1"/>
    <col min="14338" max="14431" width="0.77734375" style="952" customWidth="1"/>
    <col min="14432" max="14432" width="0.44140625" style="952" customWidth="1"/>
    <col min="14433" max="14437" width="0.77734375" style="952" customWidth="1"/>
    <col min="14438" max="14438" width="7.88671875" style="952" customWidth="1"/>
    <col min="14439" max="14440" width="6.44140625" style="952" customWidth="1"/>
    <col min="14441" max="14441" width="6.21875" style="952" customWidth="1"/>
    <col min="14442" max="14592" width="8.88671875" style="952"/>
    <col min="14593" max="14593" width="0.5546875" style="952" customWidth="1"/>
    <col min="14594" max="14687" width="0.77734375" style="952" customWidth="1"/>
    <col min="14688" max="14688" width="0.44140625" style="952" customWidth="1"/>
    <col min="14689" max="14693" width="0.77734375" style="952" customWidth="1"/>
    <col min="14694" max="14694" width="7.88671875" style="952" customWidth="1"/>
    <col min="14695" max="14696" width="6.44140625" style="952" customWidth="1"/>
    <col min="14697" max="14697" width="6.21875" style="952" customWidth="1"/>
    <col min="14698" max="14848" width="8.88671875" style="952"/>
    <col min="14849" max="14849" width="0.5546875" style="952" customWidth="1"/>
    <col min="14850" max="14943" width="0.77734375" style="952" customWidth="1"/>
    <col min="14944" max="14944" width="0.44140625" style="952" customWidth="1"/>
    <col min="14945" max="14949" width="0.77734375" style="952" customWidth="1"/>
    <col min="14950" max="14950" width="7.88671875" style="952" customWidth="1"/>
    <col min="14951" max="14952" width="6.44140625" style="952" customWidth="1"/>
    <col min="14953" max="14953" width="6.21875" style="952" customWidth="1"/>
    <col min="14954" max="15104" width="8.88671875" style="952"/>
    <col min="15105" max="15105" width="0.5546875" style="952" customWidth="1"/>
    <col min="15106" max="15199" width="0.77734375" style="952" customWidth="1"/>
    <col min="15200" max="15200" width="0.44140625" style="952" customWidth="1"/>
    <col min="15201" max="15205" width="0.77734375" style="952" customWidth="1"/>
    <col min="15206" max="15206" width="7.88671875" style="952" customWidth="1"/>
    <col min="15207" max="15208" width="6.44140625" style="952" customWidth="1"/>
    <col min="15209" max="15209" width="6.21875" style="952" customWidth="1"/>
    <col min="15210" max="15360" width="8.88671875" style="952"/>
    <col min="15361" max="15361" width="0.5546875" style="952" customWidth="1"/>
    <col min="15362" max="15455" width="0.77734375" style="952" customWidth="1"/>
    <col min="15456" max="15456" width="0.44140625" style="952" customWidth="1"/>
    <col min="15457" max="15461" width="0.77734375" style="952" customWidth="1"/>
    <col min="15462" max="15462" width="7.88671875" style="952" customWidth="1"/>
    <col min="15463" max="15464" width="6.44140625" style="952" customWidth="1"/>
    <col min="15465" max="15465" width="6.21875" style="952" customWidth="1"/>
    <col min="15466" max="15616" width="8.88671875" style="952"/>
    <col min="15617" max="15617" width="0.5546875" style="952" customWidth="1"/>
    <col min="15618" max="15711" width="0.77734375" style="952" customWidth="1"/>
    <col min="15712" max="15712" width="0.44140625" style="952" customWidth="1"/>
    <col min="15713" max="15717" width="0.77734375" style="952" customWidth="1"/>
    <col min="15718" max="15718" width="7.88671875" style="952" customWidth="1"/>
    <col min="15719" max="15720" width="6.44140625" style="952" customWidth="1"/>
    <col min="15721" max="15721" width="6.21875" style="952" customWidth="1"/>
    <col min="15722" max="15872" width="8.88671875" style="952"/>
    <col min="15873" max="15873" width="0.5546875" style="952" customWidth="1"/>
    <col min="15874" max="15967" width="0.77734375" style="952" customWidth="1"/>
    <col min="15968" max="15968" width="0.44140625" style="952" customWidth="1"/>
    <col min="15969" max="15973" width="0.77734375" style="952" customWidth="1"/>
    <col min="15974" max="15974" width="7.88671875" style="952" customWidth="1"/>
    <col min="15975" max="15976" width="6.44140625" style="952" customWidth="1"/>
    <col min="15977" max="15977" width="6.21875" style="952" customWidth="1"/>
    <col min="15978" max="16128" width="8.88671875" style="952"/>
    <col min="16129" max="16129" width="0.5546875" style="952" customWidth="1"/>
    <col min="16130" max="16223" width="0.77734375" style="952" customWidth="1"/>
    <col min="16224" max="16224" width="0.44140625" style="952" customWidth="1"/>
    <col min="16225" max="16229" width="0.77734375" style="952" customWidth="1"/>
    <col min="16230" max="16230" width="7.88671875" style="952" customWidth="1"/>
    <col min="16231" max="16232" width="6.44140625" style="952" customWidth="1"/>
    <col min="16233" max="16233" width="6.21875" style="952" customWidth="1"/>
    <col min="16234" max="16384" width="8.88671875" style="952"/>
  </cols>
  <sheetData>
    <row r="1" spans="2:106" ht="24.95" customHeight="1">
      <c r="B1" s="1105" t="s">
        <v>2598</v>
      </c>
      <c r="C1" s="1105"/>
      <c r="D1" s="1105"/>
      <c r="E1" s="1105"/>
      <c r="F1" s="1105"/>
      <c r="G1" s="1105"/>
      <c r="H1" s="1105"/>
      <c r="I1" s="1105"/>
      <c r="J1" s="1105"/>
      <c r="K1" s="1105"/>
      <c r="L1" s="1105"/>
      <c r="M1" s="1105"/>
      <c r="N1" s="1105"/>
      <c r="O1" s="1105"/>
      <c r="P1" s="1105"/>
      <c r="Q1" s="1105"/>
      <c r="R1" s="1105"/>
      <c r="S1" s="1105"/>
      <c r="T1" s="1105"/>
      <c r="U1" s="1105"/>
      <c r="V1" s="1105"/>
      <c r="W1" s="1105"/>
      <c r="X1" s="1105"/>
      <c r="Y1" s="1105"/>
      <c r="Z1" s="1105"/>
      <c r="AA1" s="1105"/>
      <c r="AB1" s="1105"/>
      <c r="AC1" s="1105"/>
      <c r="AD1" s="1105"/>
      <c r="AE1" s="1105"/>
      <c r="AF1" s="1105"/>
      <c r="AG1" s="1105"/>
      <c r="AH1" s="1105"/>
      <c r="AI1" s="1105"/>
      <c r="AJ1" s="1105"/>
      <c r="AK1" s="1105"/>
      <c r="AL1" s="1105"/>
      <c r="AM1" s="1105"/>
      <c r="AN1" s="1105"/>
      <c r="AO1" s="1105"/>
      <c r="AP1" s="1105"/>
      <c r="AQ1" s="1105"/>
      <c r="AR1" s="1105"/>
      <c r="AS1" s="1105"/>
      <c r="AT1" s="1105"/>
      <c r="AU1" s="1105"/>
      <c r="AV1" s="1105"/>
      <c r="AW1" s="1105"/>
      <c r="AX1" s="1105"/>
      <c r="AY1" s="1105"/>
      <c r="AZ1" s="1105"/>
      <c r="BA1" s="1105"/>
      <c r="BB1" s="1105"/>
      <c r="BC1" s="1105"/>
      <c r="BD1" s="1105"/>
      <c r="BE1" s="1105"/>
      <c r="BF1" s="1105"/>
      <c r="BG1" s="1105"/>
      <c r="BH1" s="1105"/>
      <c r="BI1" s="1105"/>
      <c r="BJ1" s="1105"/>
      <c r="BK1" s="1105"/>
      <c r="BL1" s="1105"/>
      <c r="BM1" s="1105"/>
      <c r="BN1" s="1105"/>
      <c r="BO1" s="1105"/>
      <c r="BP1" s="1105"/>
      <c r="BQ1" s="1105"/>
      <c r="BR1" s="1105"/>
      <c r="BS1" s="1105"/>
      <c r="BT1" s="1105"/>
      <c r="BU1" s="1105"/>
      <c r="BV1" s="1105"/>
      <c r="BW1" s="1105"/>
      <c r="BX1" s="1105"/>
      <c r="BY1" s="1105"/>
      <c r="BZ1" s="1105"/>
      <c r="CA1" s="1105"/>
      <c r="CB1" s="1105"/>
      <c r="CC1" s="1105"/>
      <c r="CD1" s="1105"/>
      <c r="CE1" s="1105"/>
      <c r="CF1" s="1105"/>
      <c r="CG1" s="1105"/>
      <c r="CH1" s="1105"/>
      <c r="CI1" s="1105"/>
      <c r="CJ1" s="1105"/>
      <c r="CK1" s="1105"/>
      <c r="CL1" s="1105"/>
      <c r="CM1" s="1105"/>
      <c r="CN1" s="1105"/>
      <c r="CO1" s="1105"/>
      <c r="CP1" s="1105"/>
      <c r="CQ1" s="1105"/>
      <c r="CR1" s="1105"/>
      <c r="CS1" s="1105"/>
      <c r="CT1" s="1105"/>
      <c r="CU1" s="1105"/>
      <c r="CV1" s="1105"/>
      <c r="CW1" s="1105"/>
      <c r="CX1" s="1105"/>
      <c r="CY1" s="1105"/>
      <c r="CZ1" s="1105"/>
      <c r="DA1" s="1105"/>
    </row>
    <row r="2" spans="2:106" ht="9.9499999999999993" customHeight="1">
      <c r="B2" s="1106"/>
      <c r="C2" s="1106"/>
      <c r="D2" s="1106"/>
      <c r="E2" s="1106"/>
      <c r="F2" s="1106"/>
      <c r="G2" s="1106"/>
      <c r="H2" s="1106"/>
      <c r="I2" s="1106"/>
      <c r="J2" s="1106"/>
      <c r="K2" s="1106"/>
      <c r="L2" s="1106"/>
      <c r="M2" s="1106"/>
      <c r="N2" s="1106"/>
      <c r="O2" s="1106"/>
      <c r="P2" s="1106"/>
      <c r="Q2" s="1106"/>
      <c r="R2" s="1106"/>
      <c r="S2" s="1106"/>
      <c r="T2" s="1106"/>
      <c r="U2" s="1106"/>
      <c r="V2" s="1106"/>
      <c r="W2" s="1106"/>
      <c r="X2" s="1106"/>
      <c r="Y2" s="1106"/>
      <c r="Z2" s="1106"/>
      <c r="AA2" s="1106"/>
      <c r="AB2" s="1106"/>
      <c r="AC2" s="1106"/>
      <c r="AD2" s="1106"/>
      <c r="AE2" s="1106"/>
      <c r="AF2" s="1106"/>
      <c r="AG2" s="1106"/>
      <c r="AH2" s="1106"/>
      <c r="AI2" s="1106"/>
      <c r="AJ2" s="1106"/>
      <c r="AK2" s="1106"/>
      <c r="AL2" s="1106"/>
      <c r="AM2" s="1106"/>
      <c r="AN2" s="1106"/>
      <c r="AO2" s="1106"/>
      <c r="AP2" s="1106"/>
      <c r="AQ2" s="1106"/>
      <c r="AR2" s="1106"/>
      <c r="AS2" s="1106"/>
      <c r="AT2" s="1106"/>
      <c r="AU2" s="1106"/>
      <c r="AV2" s="1106"/>
      <c r="AW2" s="1106"/>
      <c r="AX2" s="1106"/>
      <c r="AY2" s="1106"/>
      <c r="AZ2" s="1106"/>
      <c r="BA2" s="1106"/>
      <c r="BB2" s="1106"/>
      <c r="BC2" s="1106"/>
      <c r="BD2" s="1106"/>
      <c r="BE2" s="1106"/>
      <c r="BF2" s="1106"/>
      <c r="BG2" s="1106"/>
      <c r="BH2" s="1106"/>
      <c r="BI2" s="1106"/>
      <c r="BJ2" s="1106"/>
      <c r="BK2" s="1106"/>
      <c r="BL2" s="1106"/>
      <c r="BM2" s="1106"/>
      <c r="BN2" s="1106"/>
      <c r="BO2" s="1106"/>
      <c r="BP2" s="1106"/>
      <c r="BQ2" s="1106"/>
      <c r="BR2" s="1106"/>
      <c r="BS2" s="1106"/>
      <c r="BT2" s="1106"/>
      <c r="BU2" s="1106"/>
      <c r="BV2" s="1106"/>
      <c r="BW2" s="1106"/>
      <c r="BX2" s="1106"/>
      <c r="BY2" s="1106"/>
      <c r="BZ2" s="1106"/>
      <c r="CA2" s="1106"/>
      <c r="CB2" s="1106"/>
      <c r="CC2" s="1106"/>
      <c r="CD2" s="1106"/>
      <c r="CE2" s="1106"/>
      <c r="CF2" s="1106"/>
      <c r="CG2" s="1106"/>
      <c r="CH2" s="1106"/>
      <c r="CI2" s="1106"/>
      <c r="CJ2" s="1106"/>
      <c r="CK2" s="1106"/>
      <c r="CL2" s="1106"/>
      <c r="CM2" s="1106"/>
      <c r="CN2" s="1106"/>
      <c r="CO2" s="1106"/>
      <c r="CP2" s="1106"/>
      <c r="CQ2" s="1106"/>
      <c r="CR2" s="1106"/>
      <c r="CS2" s="1106"/>
      <c r="CT2" s="1106"/>
      <c r="CU2" s="1106"/>
      <c r="CV2" s="1106"/>
      <c r="CW2" s="1106"/>
      <c r="CX2" s="1106"/>
      <c r="CY2" s="1106"/>
      <c r="CZ2" s="1106"/>
      <c r="DA2" s="1106"/>
    </row>
    <row r="3" spans="2:106" ht="27.95" customHeight="1">
      <c r="B3" s="1107" t="s">
        <v>2599</v>
      </c>
      <c r="C3" s="1108" t="s">
        <v>1156</v>
      </c>
      <c r="D3" s="1108" t="s">
        <v>1168</v>
      </c>
      <c r="E3" s="1108" t="s">
        <v>1169</v>
      </c>
      <c r="F3" s="1108" t="s">
        <v>1170</v>
      </c>
      <c r="G3" s="1108"/>
      <c r="H3" s="1108"/>
      <c r="I3" s="1108"/>
      <c r="J3" s="1108"/>
      <c r="K3" s="1108"/>
      <c r="L3" s="1108"/>
      <c r="M3" s="1108"/>
      <c r="N3" s="1108"/>
      <c r="O3" s="1108"/>
      <c r="P3" s="1108"/>
      <c r="Q3" s="1108"/>
      <c r="R3" s="1108"/>
      <c r="S3" s="1108"/>
      <c r="T3" s="1108"/>
      <c r="U3" s="1108"/>
      <c r="V3" s="1108"/>
      <c r="W3" s="1108"/>
      <c r="X3" s="1108"/>
      <c r="Y3" s="1108"/>
      <c r="Z3" s="1108"/>
      <c r="AA3" s="1108"/>
      <c r="AB3" s="1108"/>
      <c r="AC3" s="1108"/>
      <c r="AD3" s="1108"/>
      <c r="AE3" s="1108"/>
      <c r="AF3" s="1108"/>
      <c r="AG3" s="1108"/>
      <c r="AH3" s="1108"/>
      <c r="AI3" s="1108"/>
      <c r="AJ3" s="1108"/>
      <c r="AK3" s="1108"/>
      <c r="AL3" s="1108"/>
      <c r="AM3" s="1108"/>
      <c r="AN3" s="1108"/>
      <c r="AO3" s="1108"/>
      <c r="AP3" s="1108"/>
      <c r="AQ3" s="1108"/>
      <c r="AR3" s="1108"/>
      <c r="AS3" s="1108"/>
      <c r="AT3" s="1108"/>
      <c r="AU3" s="1108"/>
      <c r="AV3" s="1108"/>
      <c r="AW3" s="1108"/>
      <c r="AX3" s="1108"/>
      <c r="AY3" s="1108"/>
      <c r="AZ3" s="1108"/>
      <c r="BA3" s="1108"/>
      <c r="BB3" s="1108"/>
      <c r="BC3" s="1108"/>
      <c r="BD3" s="1108"/>
      <c r="BE3" s="1108"/>
      <c r="BF3" s="1108"/>
      <c r="BG3" s="1108"/>
      <c r="BH3" s="1108"/>
      <c r="BI3" s="1108"/>
      <c r="BJ3" s="1108"/>
      <c r="BK3" s="1108"/>
      <c r="BL3" s="1108"/>
      <c r="BM3" s="1108"/>
      <c r="BN3" s="1108"/>
      <c r="BO3" s="1108"/>
      <c r="BP3" s="1108"/>
      <c r="BQ3" s="1108"/>
      <c r="BR3" s="1108"/>
      <c r="BS3" s="1108"/>
      <c r="BT3" s="1108"/>
      <c r="BU3" s="1108"/>
      <c r="BV3" s="1108"/>
      <c r="BW3" s="1108"/>
      <c r="BX3" s="1108"/>
      <c r="BY3" s="1108"/>
      <c r="BZ3" s="1108"/>
      <c r="CA3" s="1108"/>
      <c r="CB3" s="1108"/>
      <c r="CC3" s="1108"/>
      <c r="CD3" s="1108"/>
      <c r="CE3" s="1108"/>
      <c r="CF3" s="1108"/>
      <c r="CG3" s="1108"/>
      <c r="CH3" s="1108"/>
      <c r="CI3" s="1108"/>
      <c r="CJ3" s="1108"/>
      <c r="CK3" s="1108"/>
      <c r="CL3" s="1108"/>
      <c r="CM3" s="1108"/>
      <c r="CN3" s="1108"/>
      <c r="CO3" s="1108"/>
      <c r="CP3" s="1108"/>
      <c r="CQ3" s="1108"/>
      <c r="CR3" s="1108"/>
      <c r="CS3" s="1108"/>
      <c r="CT3" s="1108"/>
      <c r="CU3" s="1108"/>
      <c r="CV3" s="1108"/>
      <c r="CW3" s="1108"/>
      <c r="CX3" s="953" t="s">
        <v>1156</v>
      </c>
      <c r="CY3" s="953" t="s">
        <v>1168</v>
      </c>
      <c r="CZ3" s="953" t="s">
        <v>1169</v>
      </c>
      <c r="DA3" s="954" t="s">
        <v>1170</v>
      </c>
    </row>
    <row r="4" spans="2:106" ht="11.25" customHeight="1">
      <c r="B4" s="955" t="s">
        <v>2685</v>
      </c>
      <c r="C4" s="956"/>
      <c r="D4" s="956"/>
      <c r="E4" s="956"/>
      <c r="F4" s="956"/>
      <c r="G4" s="956"/>
      <c r="H4" s="956"/>
      <c r="I4" s="956"/>
      <c r="J4" s="956"/>
      <c r="K4" s="956"/>
      <c r="L4" s="956"/>
      <c r="M4" s="956"/>
      <c r="N4" s="956"/>
      <c r="O4" s="956"/>
      <c r="P4" s="956"/>
      <c r="Q4" s="956"/>
      <c r="R4" s="956"/>
      <c r="S4" s="956"/>
      <c r="T4" s="956"/>
      <c r="U4" s="956"/>
      <c r="V4" s="956"/>
      <c r="W4" s="956"/>
      <c r="X4" s="956"/>
      <c r="Y4" s="956"/>
      <c r="Z4" s="956"/>
      <c r="AA4" s="956"/>
      <c r="AB4" s="956"/>
      <c r="AC4" s="956"/>
      <c r="AD4" s="956"/>
      <c r="AE4" s="956"/>
      <c r="AF4" s="956"/>
      <c r="AG4" s="956"/>
      <c r="AH4" s="956"/>
      <c r="AI4" s="956"/>
      <c r="AJ4" s="956"/>
      <c r="AK4" s="956"/>
      <c r="AL4" s="956"/>
      <c r="AM4" s="956"/>
      <c r="AN4" s="956"/>
      <c r="AO4" s="956"/>
      <c r="AP4" s="956"/>
      <c r="AQ4" s="956"/>
      <c r="AR4" s="956"/>
      <c r="AS4" s="956"/>
      <c r="AT4" s="956"/>
      <c r="AU4" s="956"/>
      <c r="AV4" s="956"/>
      <c r="AW4" s="956"/>
      <c r="AX4" s="956"/>
      <c r="AY4" s="956"/>
      <c r="AZ4" s="956"/>
      <c r="BA4" s="956"/>
      <c r="BB4" s="956"/>
      <c r="BC4" s="956"/>
      <c r="BD4" s="956"/>
      <c r="BE4" s="956"/>
      <c r="BF4" s="956"/>
      <c r="BG4" s="956"/>
      <c r="BH4" s="956"/>
      <c r="BI4" s="956"/>
      <c r="BJ4" s="956"/>
      <c r="BK4" s="956"/>
      <c r="BL4" s="956"/>
      <c r="BM4" s="956"/>
      <c r="BN4" s="956"/>
      <c r="BO4" s="956"/>
      <c r="BP4" s="956"/>
      <c r="BQ4" s="956"/>
      <c r="BR4" s="956"/>
      <c r="BS4" s="956"/>
      <c r="BT4" s="956"/>
      <c r="BU4" s="956"/>
      <c r="BV4" s="956"/>
      <c r="BW4" s="956"/>
      <c r="BX4" s="956"/>
      <c r="BY4" s="956"/>
      <c r="BZ4" s="956"/>
      <c r="CA4" s="956"/>
      <c r="CB4" s="956"/>
      <c r="CC4" s="956"/>
      <c r="CD4" s="956"/>
      <c r="CE4" s="956"/>
      <c r="CF4" s="956"/>
      <c r="CG4" s="956"/>
      <c r="CH4" s="956"/>
      <c r="CI4" s="956"/>
      <c r="CJ4" s="956"/>
      <c r="CK4" s="956"/>
      <c r="CL4" s="956"/>
      <c r="CM4" s="956"/>
      <c r="CN4" s="956"/>
      <c r="CO4" s="956"/>
      <c r="CP4" s="956"/>
      <c r="CQ4" s="956"/>
      <c r="CR4" s="956"/>
      <c r="CS4" s="956"/>
      <c r="CT4" s="956"/>
      <c r="CU4" s="956"/>
      <c r="CV4" s="956"/>
      <c r="CW4" s="956"/>
      <c r="CX4" s="957">
        <f>CX106</f>
        <v>5597</v>
      </c>
      <c r="CY4" s="957" t="str">
        <f>CY106</f>
        <v>3,032</v>
      </c>
      <c r="CZ4" s="957" t="str">
        <f>CZ106</f>
        <v>1,108</v>
      </c>
      <c r="DA4" s="958" t="str">
        <f>DA106</f>
        <v>1,457</v>
      </c>
      <c r="DB4" s="959"/>
    </row>
    <row r="5" spans="2:106" ht="11.25" customHeight="1">
      <c r="B5" s="960"/>
      <c r="C5" s="956"/>
      <c r="D5" s="956"/>
      <c r="E5" s="956"/>
      <c r="F5" s="956"/>
      <c r="G5" s="956"/>
      <c r="H5" s="956"/>
      <c r="I5" s="956"/>
      <c r="J5" s="956"/>
      <c r="K5" s="956"/>
      <c r="L5" s="956"/>
      <c r="M5" s="956"/>
      <c r="N5" s="956"/>
      <c r="O5" s="956"/>
      <c r="P5" s="956"/>
      <c r="Q5" s="956"/>
      <c r="R5" s="956"/>
      <c r="S5" s="956"/>
      <c r="T5" s="956"/>
      <c r="U5" s="956"/>
      <c r="V5" s="956"/>
      <c r="W5" s="956"/>
      <c r="X5" s="956"/>
      <c r="Y5" s="956"/>
      <c r="Z5" s="956"/>
      <c r="AA5" s="956"/>
      <c r="AB5" s="956"/>
      <c r="AC5" s="956"/>
      <c r="AD5" s="956"/>
      <c r="AE5" s="956"/>
      <c r="AF5" s="956"/>
      <c r="AG5" s="956"/>
      <c r="AH5" s="956"/>
      <c r="AI5" s="956"/>
      <c r="AJ5" s="956"/>
      <c r="AK5" s="956"/>
      <c r="AL5" s="956"/>
      <c r="AM5" s="956"/>
      <c r="AN5" s="956"/>
      <c r="AO5" s="956"/>
      <c r="AP5" s="956"/>
      <c r="AQ5" s="956"/>
      <c r="AR5" s="956"/>
      <c r="AS5" s="956"/>
      <c r="AT5" s="956"/>
      <c r="AU5" s="956"/>
      <c r="AV5" s="956"/>
      <c r="AW5" s="956"/>
      <c r="AX5" s="956"/>
      <c r="AY5" s="956"/>
      <c r="AZ5" s="956"/>
      <c r="BA5" s="956"/>
      <c r="BB5" s="956"/>
      <c r="BC5" s="956"/>
      <c r="BD5" s="956"/>
      <c r="BE5" s="956"/>
      <c r="BF5" s="956"/>
      <c r="BG5" s="956"/>
      <c r="BH5" s="956"/>
      <c r="BI5" s="956"/>
      <c r="BJ5" s="956"/>
      <c r="BK5" s="956"/>
      <c r="BL5" s="956"/>
      <c r="BM5" s="956"/>
      <c r="BN5" s="956"/>
      <c r="BO5" s="956"/>
      <c r="BP5" s="956"/>
      <c r="BQ5" s="956"/>
      <c r="BR5" s="956"/>
      <c r="BS5" s="956"/>
      <c r="BT5" s="956"/>
      <c r="BU5" s="956"/>
      <c r="BV5" s="956"/>
      <c r="BW5" s="956"/>
      <c r="BX5" s="956"/>
      <c r="BY5" s="956"/>
      <c r="BZ5" s="956"/>
      <c r="CA5" s="956"/>
      <c r="CB5" s="956"/>
      <c r="CC5" s="956"/>
      <c r="CD5" s="956"/>
      <c r="CE5" s="956"/>
      <c r="CF5" s="956"/>
      <c r="CG5" s="956"/>
      <c r="CH5" s="956"/>
      <c r="CI5" s="956"/>
      <c r="CJ5" s="956"/>
      <c r="CK5" s="956"/>
      <c r="CL5" s="956"/>
      <c r="CM5" s="956"/>
      <c r="CN5" s="956"/>
      <c r="CO5" s="956"/>
      <c r="CP5" s="956"/>
      <c r="CQ5" s="956"/>
      <c r="CR5" s="956"/>
      <c r="CS5" s="956"/>
      <c r="CT5" s="956"/>
      <c r="CU5" s="956"/>
      <c r="CV5" s="956"/>
      <c r="CW5" s="956"/>
      <c r="CX5" s="961"/>
      <c r="CY5" s="961"/>
      <c r="CZ5" s="961"/>
      <c r="DA5" s="962"/>
      <c r="DB5" s="959"/>
    </row>
    <row r="6" spans="2:106" ht="11.25" customHeight="1">
      <c r="B6" s="960"/>
      <c r="C6" s="956"/>
      <c r="D6" s="956"/>
      <c r="E6" s="956" t="s">
        <v>2632</v>
      </c>
      <c r="F6" s="956"/>
      <c r="G6" s="956"/>
      <c r="H6" s="956"/>
      <c r="I6" s="956"/>
      <c r="J6" s="956"/>
      <c r="K6" s="956"/>
      <c r="L6" s="956"/>
      <c r="M6" s="956"/>
      <c r="N6" s="956"/>
      <c r="O6" s="956"/>
      <c r="P6" s="956"/>
      <c r="Q6" s="956"/>
      <c r="R6" s="956"/>
      <c r="S6" s="956"/>
      <c r="T6" s="956"/>
      <c r="U6" s="956"/>
      <c r="V6" s="956"/>
      <c r="W6" s="956"/>
      <c r="X6" s="956"/>
      <c r="Y6" s="956"/>
      <c r="Z6" s="956"/>
      <c r="AA6" s="956"/>
      <c r="AB6" s="956"/>
      <c r="AC6" s="956"/>
      <c r="AD6" s="956"/>
      <c r="AE6" s="956"/>
      <c r="AF6" s="956"/>
      <c r="AG6" s="956"/>
      <c r="AH6" s="956"/>
      <c r="AI6" s="956"/>
      <c r="AJ6" s="956"/>
      <c r="AK6" s="956"/>
      <c r="AL6" s="956"/>
      <c r="AM6" s="956"/>
      <c r="AN6" s="956"/>
      <c r="AO6" s="956"/>
      <c r="AP6" s="956"/>
      <c r="AQ6" s="956"/>
      <c r="AR6" s="956"/>
      <c r="AS6" s="956"/>
      <c r="AT6" s="956"/>
      <c r="AU6" s="956"/>
      <c r="AV6" s="956"/>
      <c r="AW6" s="956"/>
      <c r="AX6" s="956"/>
      <c r="AY6" s="956"/>
      <c r="AZ6" s="956"/>
      <c r="BA6" s="956"/>
      <c r="BB6" s="956"/>
      <c r="BC6" s="956"/>
      <c r="BD6" s="956"/>
      <c r="BE6" s="956"/>
      <c r="BF6" s="956"/>
      <c r="BG6" s="956"/>
      <c r="BH6" s="956"/>
      <c r="BI6" s="956"/>
      <c r="BJ6" s="956"/>
      <c r="BK6" s="956"/>
      <c r="BL6" s="956"/>
      <c r="BM6" s="956"/>
      <c r="BN6" s="956"/>
      <c r="BO6" s="956"/>
      <c r="BP6" s="956"/>
      <c r="BQ6" s="956"/>
      <c r="BR6" s="956"/>
      <c r="BS6" s="956"/>
      <c r="BT6" s="956"/>
      <c r="BU6" s="956"/>
      <c r="BV6" s="956"/>
      <c r="BW6" s="956"/>
      <c r="BX6" s="956"/>
      <c r="BY6" s="956"/>
      <c r="BZ6" s="956"/>
      <c r="CA6" s="956"/>
      <c r="CB6" s="956"/>
      <c r="CC6" s="956"/>
      <c r="CD6" s="956"/>
      <c r="CE6" s="956"/>
      <c r="CF6" s="956"/>
      <c r="CG6" s="956"/>
      <c r="CH6" s="956"/>
      <c r="CI6" s="956"/>
      <c r="CJ6" s="956"/>
      <c r="CK6" s="956"/>
      <c r="CL6" s="956"/>
      <c r="CM6" s="956"/>
      <c r="CN6" s="956"/>
      <c r="CO6" s="956"/>
      <c r="CP6" s="956"/>
      <c r="CQ6" s="956"/>
      <c r="CR6" s="956"/>
      <c r="CS6" s="956"/>
      <c r="CT6" s="956"/>
      <c r="CU6" s="956"/>
      <c r="CV6" s="956"/>
      <c r="CW6" s="956"/>
      <c r="CX6" s="961"/>
      <c r="CY6" s="961"/>
      <c r="CZ6" s="961"/>
      <c r="DA6" s="962"/>
      <c r="DB6" s="959"/>
    </row>
    <row r="7" spans="2:106" ht="11.25" customHeight="1">
      <c r="B7" s="960"/>
      <c r="C7" s="956"/>
      <c r="D7" s="956"/>
      <c r="E7" s="956"/>
      <c r="F7" s="956"/>
      <c r="G7" s="956"/>
      <c r="H7" s="956"/>
      <c r="I7" s="956"/>
      <c r="J7" s="956"/>
      <c r="K7" s="956"/>
      <c r="L7" s="956"/>
      <c r="M7" s="956"/>
      <c r="N7" s="956"/>
      <c r="O7" s="956"/>
      <c r="P7" s="956"/>
      <c r="Q7" s="956"/>
      <c r="R7" s="956"/>
      <c r="S7" s="956"/>
      <c r="T7" s="956"/>
      <c r="U7" s="956"/>
      <c r="V7" s="956"/>
      <c r="W7" s="956"/>
      <c r="X7" s="956"/>
      <c r="Y7" s="956"/>
      <c r="Z7" s="956"/>
      <c r="AA7" s="956"/>
      <c r="AB7" s="956"/>
      <c r="AC7" s="956"/>
      <c r="AD7" s="956"/>
      <c r="AE7" s="956"/>
      <c r="AF7" s="956"/>
      <c r="AG7" s="956"/>
      <c r="AH7" s="956"/>
      <c r="AI7" s="956"/>
      <c r="AJ7" s="956"/>
      <c r="AK7" s="956"/>
      <c r="AL7" s="956"/>
      <c r="AM7" s="956"/>
      <c r="AN7" s="956"/>
      <c r="AO7" s="956"/>
      <c r="AP7" s="956"/>
      <c r="AQ7" s="956"/>
      <c r="AR7" s="956"/>
      <c r="AS7" s="956"/>
      <c r="AT7" s="956"/>
      <c r="AU7" s="956"/>
      <c r="AV7" s="956"/>
      <c r="AW7" s="956"/>
      <c r="AX7" s="956"/>
      <c r="AY7" s="956"/>
      <c r="AZ7" s="956"/>
      <c r="BA7" s="956"/>
      <c r="BB7" s="956"/>
      <c r="BC7" s="956"/>
      <c r="BD7" s="956"/>
      <c r="BE7" s="956"/>
      <c r="BF7" s="956"/>
      <c r="BG7" s="956"/>
      <c r="BH7" s="956"/>
      <c r="BI7" s="956"/>
      <c r="BJ7" s="956"/>
      <c r="BK7" s="956"/>
      <c r="BL7" s="956"/>
      <c r="BM7" s="956"/>
      <c r="BN7" s="956"/>
      <c r="BO7" s="956"/>
      <c r="BP7" s="956"/>
      <c r="BQ7" s="956"/>
      <c r="BR7" s="956"/>
      <c r="BS7" s="956"/>
      <c r="BT7" s="956"/>
      <c r="BU7" s="956"/>
      <c r="BV7" s="956"/>
      <c r="BW7" s="956"/>
      <c r="BX7" s="956"/>
      <c r="BY7" s="956"/>
      <c r="BZ7" s="956"/>
      <c r="CA7" s="956"/>
      <c r="CB7" s="956"/>
      <c r="CC7" s="956"/>
      <c r="CD7" s="956"/>
      <c r="CE7" s="956"/>
      <c r="CF7" s="956"/>
      <c r="CG7" s="956"/>
      <c r="CH7" s="956"/>
      <c r="CI7" s="956"/>
      <c r="CJ7" s="956"/>
      <c r="CK7" s="956"/>
      <c r="CL7" s="956"/>
      <c r="CM7" s="956"/>
      <c r="CN7" s="956"/>
      <c r="CO7" s="956"/>
      <c r="CP7" s="956"/>
      <c r="CQ7" s="956"/>
      <c r="CR7" s="956"/>
      <c r="CS7" s="956"/>
      <c r="CT7" s="956"/>
      <c r="CU7" s="956"/>
      <c r="CV7" s="956"/>
      <c r="CW7" s="956"/>
      <c r="CX7" s="961"/>
      <c r="CY7" s="961"/>
      <c r="CZ7" s="961"/>
      <c r="DA7" s="962"/>
      <c r="DB7" s="959"/>
    </row>
    <row r="8" spans="2:106" ht="11.25" customHeight="1">
      <c r="B8" s="960"/>
      <c r="C8" s="956"/>
      <c r="D8" s="956"/>
      <c r="E8" s="956" t="s">
        <v>2615</v>
      </c>
      <c r="F8" s="956"/>
      <c r="G8" s="956"/>
      <c r="H8" s="956" t="s">
        <v>2633</v>
      </c>
      <c r="I8" s="956"/>
      <c r="J8" s="956"/>
      <c r="K8" s="956"/>
      <c r="L8" s="956"/>
      <c r="M8" s="956"/>
      <c r="N8" s="956"/>
      <c r="O8" s="956"/>
      <c r="P8" s="956"/>
      <c r="Q8" s="956" t="s">
        <v>2634</v>
      </c>
      <c r="R8" s="956"/>
      <c r="S8" s="956" t="s">
        <v>2635</v>
      </c>
      <c r="T8" s="956"/>
      <c r="U8" s="956"/>
      <c r="V8" s="956" t="s">
        <v>2636</v>
      </c>
      <c r="W8" s="956"/>
      <c r="X8" s="956"/>
      <c r="Y8" s="956"/>
      <c r="Z8" s="956"/>
      <c r="AA8" s="956" t="s">
        <v>2629</v>
      </c>
      <c r="AB8" s="956" t="s">
        <v>2637</v>
      </c>
      <c r="AC8" s="956"/>
      <c r="AD8" s="956"/>
      <c r="AE8" s="956"/>
      <c r="AF8" s="956"/>
      <c r="AG8" s="956"/>
      <c r="AH8" s="956"/>
      <c r="AI8" s="956"/>
      <c r="AJ8" s="956" t="s">
        <v>2630</v>
      </c>
      <c r="AK8" s="956"/>
      <c r="AL8" s="956" t="s">
        <v>2629</v>
      </c>
      <c r="AM8" s="956" t="s">
        <v>485</v>
      </c>
      <c r="AN8" s="956"/>
      <c r="AO8" s="956"/>
      <c r="AP8" s="956" t="s">
        <v>2638</v>
      </c>
      <c r="AQ8" s="956"/>
      <c r="AR8" s="956"/>
      <c r="AS8" s="956"/>
      <c r="AT8" s="956"/>
      <c r="AU8" s="956"/>
      <c r="AV8" s="956"/>
      <c r="AW8" s="956"/>
      <c r="AX8" s="956"/>
      <c r="AY8" s="956"/>
      <c r="AZ8" s="956"/>
      <c r="BA8" s="956" t="s">
        <v>2639</v>
      </c>
      <c r="BB8" s="956"/>
      <c r="BC8" s="956"/>
      <c r="BD8" s="956"/>
      <c r="BE8" s="956"/>
      <c r="BF8" s="956"/>
      <c r="BG8" s="956"/>
      <c r="BH8" s="956"/>
      <c r="BI8" s="956"/>
      <c r="BJ8" s="956"/>
      <c r="BK8" s="956"/>
      <c r="BL8" s="956"/>
      <c r="BM8" s="956"/>
      <c r="BN8" s="956"/>
      <c r="BO8" s="956"/>
      <c r="BP8" s="956"/>
      <c r="BQ8" s="956"/>
      <c r="BR8" s="956"/>
      <c r="BS8" s="956"/>
      <c r="BT8" s="956"/>
      <c r="BU8" s="956"/>
      <c r="BV8" s="956"/>
      <c r="BW8" s="956"/>
      <c r="BX8" s="956"/>
      <c r="BY8" s="956"/>
      <c r="BZ8" s="956"/>
      <c r="CA8" s="956"/>
      <c r="CB8" s="956"/>
      <c r="CC8" s="956"/>
      <c r="CD8" s="956"/>
      <c r="CE8" s="956"/>
      <c r="CF8" s="956"/>
      <c r="CG8" s="956"/>
      <c r="CH8" s="956"/>
      <c r="CI8" s="956"/>
      <c r="CJ8" s="956"/>
      <c r="CK8" s="956"/>
      <c r="CL8" s="956"/>
      <c r="CM8" s="956"/>
      <c r="CN8" s="956"/>
      <c r="CO8" s="956"/>
      <c r="CP8" s="956"/>
      <c r="CQ8" s="956"/>
      <c r="CR8" s="956"/>
      <c r="CS8" s="956"/>
      <c r="CT8" s="956"/>
      <c r="CU8" s="956"/>
      <c r="CV8" s="956"/>
      <c r="CW8" s="956"/>
      <c r="CX8" s="961"/>
      <c r="CY8" s="961"/>
      <c r="CZ8" s="961"/>
      <c r="DA8" s="962"/>
      <c r="DB8" s="959"/>
    </row>
    <row r="9" spans="2:106" ht="11.25" customHeight="1">
      <c r="B9" s="960"/>
      <c r="C9" s="956"/>
      <c r="D9" s="956"/>
      <c r="E9" s="956"/>
      <c r="F9" s="956"/>
      <c r="G9" s="956"/>
      <c r="H9" s="956" t="s">
        <v>2686</v>
      </c>
      <c r="I9" s="956" t="s">
        <v>2604</v>
      </c>
      <c r="J9" s="956" t="s">
        <v>2631</v>
      </c>
      <c r="K9" s="956"/>
      <c r="L9" s="956"/>
      <c r="M9" s="956"/>
      <c r="N9" s="956"/>
      <c r="O9" s="956" t="s">
        <v>2606</v>
      </c>
      <c r="P9" s="956"/>
      <c r="Q9" s="956" t="s">
        <v>2677</v>
      </c>
      <c r="R9" s="956"/>
      <c r="S9" s="956"/>
      <c r="T9" s="956"/>
      <c r="U9" s="956"/>
      <c r="V9" s="956"/>
      <c r="W9" s="956"/>
      <c r="X9" s="956"/>
      <c r="Y9" s="956"/>
      <c r="Z9" s="956"/>
      <c r="AA9" s="956"/>
      <c r="AB9" s="956" t="s">
        <v>2678</v>
      </c>
      <c r="AC9" s="956"/>
      <c r="AD9" s="956"/>
      <c r="AE9" s="956"/>
      <c r="AF9" s="956"/>
      <c r="AG9" s="956"/>
      <c r="AH9" s="956"/>
      <c r="AI9" s="956" t="s">
        <v>2679</v>
      </c>
      <c r="AJ9" s="956"/>
      <c r="AK9" s="956"/>
      <c r="AL9" s="956"/>
      <c r="AM9" s="956"/>
      <c r="AN9" s="956" t="s">
        <v>2640</v>
      </c>
      <c r="AO9" s="956"/>
      <c r="AP9" s="956"/>
      <c r="AQ9" s="956"/>
      <c r="AR9" s="956"/>
      <c r="AS9" s="956"/>
      <c r="AT9" s="956"/>
      <c r="AU9" s="956"/>
      <c r="AV9" s="956"/>
      <c r="AW9" s="956"/>
      <c r="AX9" s="956"/>
      <c r="AY9" s="956" t="s">
        <v>2680</v>
      </c>
      <c r="AZ9" s="956"/>
      <c r="BA9" s="956"/>
      <c r="BB9" s="956"/>
      <c r="BC9" s="956"/>
      <c r="BD9" s="956"/>
      <c r="BE9" s="956"/>
      <c r="BF9" s="956"/>
      <c r="BG9" s="956"/>
      <c r="BH9" s="956" t="s">
        <v>2687</v>
      </c>
      <c r="BI9" s="956"/>
      <c r="BJ9" s="956"/>
      <c r="BK9" s="956"/>
      <c r="BL9" s="956"/>
      <c r="BM9" s="956"/>
      <c r="BN9" s="956"/>
      <c r="BO9" s="956"/>
      <c r="BP9" s="956"/>
      <c r="BQ9" s="956" t="s">
        <v>2682</v>
      </c>
      <c r="BR9" s="956"/>
      <c r="BS9" s="956"/>
      <c r="BT9" s="956"/>
      <c r="BU9" s="956"/>
      <c r="BV9" s="956"/>
      <c r="BW9" s="956"/>
      <c r="BX9" s="956" t="s">
        <v>2683</v>
      </c>
      <c r="BY9" s="956"/>
      <c r="BZ9" s="956"/>
      <c r="CA9" s="956"/>
      <c r="CB9" s="956"/>
      <c r="CC9" s="956"/>
      <c r="CD9" s="956"/>
      <c r="CE9" s="956"/>
      <c r="CF9" s="956"/>
      <c r="CG9" s="956"/>
      <c r="CH9" s="956"/>
      <c r="CI9" s="956"/>
      <c r="CJ9" s="956"/>
      <c r="CK9" s="956"/>
      <c r="CL9" s="956"/>
      <c r="CM9" s="956"/>
      <c r="CN9" s="956"/>
      <c r="CO9" s="956"/>
      <c r="CP9" s="956"/>
      <c r="CQ9" s="956"/>
      <c r="CR9" s="956"/>
      <c r="CS9" s="956"/>
      <c r="CT9" s="956"/>
      <c r="CU9" s="956"/>
      <c r="CV9" s="956"/>
      <c r="CW9" s="956"/>
      <c r="CX9" s="961"/>
      <c r="CY9" s="961"/>
      <c r="CZ9" s="961"/>
      <c r="DA9" s="962"/>
      <c r="DB9" s="959"/>
    </row>
    <row r="10" spans="2:106" ht="11.25" customHeight="1">
      <c r="B10" s="960"/>
      <c r="C10" s="956"/>
      <c r="D10" s="956"/>
      <c r="E10" s="956"/>
      <c r="F10" s="956"/>
      <c r="G10" s="956"/>
      <c r="H10" s="956"/>
      <c r="I10" s="956"/>
      <c r="J10" s="956"/>
      <c r="K10" s="956"/>
      <c r="L10" s="956"/>
      <c r="M10" s="956"/>
      <c r="N10" s="956"/>
      <c r="O10" s="956"/>
      <c r="P10" s="956"/>
      <c r="Q10" s="956" t="s">
        <v>2681</v>
      </c>
      <c r="R10" s="956"/>
      <c r="S10" s="956"/>
      <c r="T10" s="956"/>
      <c r="U10" s="956"/>
      <c r="V10" s="956"/>
      <c r="W10" s="956"/>
      <c r="X10" s="956" t="s">
        <v>2684</v>
      </c>
      <c r="Y10" s="956"/>
      <c r="Z10" s="956"/>
      <c r="AA10" s="956"/>
      <c r="AB10" s="956"/>
      <c r="AC10" s="956"/>
      <c r="AD10" s="956"/>
      <c r="AE10" s="956" t="s">
        <v>2688</v>
      </c>
      <c r="AF10" s="956"/>
      <c r="AG10" s="956"/>
      <c r="AH10" s="956"/>
      <c r="AI10" s="956"/>
      <c r="AJ10" s="956"/>
      <c r="AK10" s="956"/>
      <c r="AL10" s="956"/>
      <c r="AM10" s="956"/>
      <c r="AN10" s="956" t="s">
        <v>2628</v>
      </c>
      <c r="AO10" s="956"/>
      <c r="AP10" s="956"/>
      <c r="AQ10" s="956"/>
      <c r="AR10" s="956"/>
      <c r="AS10" s="956"/>
      <c r="AT10" s="956"/>
      <c r="AU10" s="956"/>
      <c r="AV10" s="956"/>
      <c r="AW10" s="956"/>
      <c r="AX10" s="956"/>
      <c r="AY10" s="956"/>
      <c r="AZ10" s="956"/>
      <c r="BA10" s="956"/>
      <c r="BB10" s="956"/>
      <c r="BC10" s="956"/>
      <c r="BD10" s="956"/>
      <c r="BE10" s="956"/>
      <c r="BF10" s="956"/>
      <c r="BG10" s="956"/>
      <c r="BH10" s="956"/>
      <c r="BI10" s="956"/>
      <c r="BJ10" s="956"/>
      <c r="BK10" s="956"/>
      <c r="BL10" s="956"/>
      <c r="BM10" s="956"/>
      <c r="BN10" s="956"/>
      <c r="BO10" s="956"/>
      <c r="BP10" s="956"/>
      <c r="BQ10" s="956"/>
      <c r="BR10" s="956"/>
      <c r="BS10" s="956"/>
      <c r="BT10" s="956"/>
      <c r="BU10" s="956"/>
      <c r="BV10" s="956"/>
      <c r="BW10" s="956"/>
      <c r="BX10" s="956"/>
      <c r="BY10" s="956"/>
      <c r="BZ10" s="956"/>
      <c r="CA10" s="956"/>
      <c r="CB10" s="956"/>
      <c r="CC10" s="956"/>
      <c r="CD10" s="956"/>
      <c r="CE10" s="956"/>
      <c r="CF10" s="956"/>
      <c r="CG10" s="956"/>
      <c r="CH10" s="956"/>
      <c r="CI10" s="956"/>
      <c r="CJ10" s="956"/>
      <c r="CK10" s="956"/>
      <c r="CL10" s="956"/>
      <c r="CM10" s="956"/>
      <c r="CN10" s="956"/>
      <c r="CO10" s="956"/>
      <c r="CP10" s="956"/>
      <c r="CQ10" s="956"/>
      <c r="CR10" s="956"/>
      <c r="CS10" s="956"/>
      <c r="CT10" s="956"/>
      <c r="CU10" s="956"/>
      <c r="CV10" s="956"/>
      <c r="CW10" s="956"/>
      <c r="CX10" s="961"/>
      <c r="CY10" s="961"/>
      <c r="CZ10" s="961"/>
      <c r="DA10" s="962"/>
      <c r="DB10" s="959"/>
    </row>
    <row r="11" spans="2:106" ht="11.25" customHeight="1">
      <c r="B11" s="960"/>
      <c r="C11" s="956"/>
      <c r="D11" s="956"/>
      <c r="E11" s="956"/>
      <c r="F11" s="956"/>
      <c r="G11" s="956"/>
      <c r="H11" s="956"/>
      <c r="I11" s="956"/>
      <c r="J11" s="956"/>
      <c r="K11" s="956"/>
      <c r="L11" s="956"/>
      <c r="M11" s="956"/>
      <c r="N11" s="956"/>
      <c r="O11" s="956"/>
      <c r="P11" s="956"/>
      <c r="Q11" s="956"/>
      <c r="R11" s="956"/>
      <c r="S11" s="956"/>
      <c r="T11" s="956"/>
      <c r="U11" s="956"/>
      <c r="V11" s="956"/>
      <c r="W11" s="956"/>
      <c r="X11" s="956"/>
      <c r="Y11" s="956"/>
      <c r="Z11" s="956"/>
      <c r="AA11" s="956"/>
      <c r="AB11" s="956"/>
      <c r="AC11" s="956"/>
      <c r="AD11" s="956"/>
      <c r="AE11" s="956"/>
      <c r="AF11" s="956"/>
      <c r="AG11" s="956"/>
      <c r="AH11" s="956"/>
      <c r="AI11" s="956"/>
      <c r="AJ11" s="956"/>
      <c r="AK11" s="956"/>
      <c r="AL11" s="956"/>
      <c r="AM11" s="956"/>
      <c r="AN11" s="956"/>
      <c r="AO11" s="956"/>
      <c r="AP11" s="956"/>
      <c r="AQ11" s="956"/>
      <c r="AR11" s="956"/>
      <c r="AS11" s="956"/>
      <c r="AT11" s="956"/>
      <c r="AU11" s="956"/>
      <c r="AV11" s="956"/>
      <c r="AW11" s="956"/>
      <c r="AX11" s="956"/>
      <c r="AY11" s="956"/>
      <c r="AZ11" s="956"/>
      <c r="BA11" s="956"/>
      <c r="BB11" s="956"/>
      <c r="BC11" s="956"/>
      <c r="BD11" s="956"/>
      <c r="BE11" s="956"/>
      <c r="BF11" s="956"/>
      <c r="BG11" s="956"/>
      <c r="BH11" s="956"/>
      <c r="BI11" s="956"/>
      <c r="BJ11" s="956"/>
      <c r="BK11" s="956"/>
      <c r="BL11" s="956"/>
      <c r="BM11" s="956"/>
      <c r="BN11" s="956"/>
      <c r="BO11" s="956"/>
      <c r="BP11" s="956"/>
      <c r="BQ11" s="956"/>
      <c r="BR11" s="956"/>
      <c r="BS11" s="956"/>
      <c r="BT11" s="956"/>
      <c r="BU11" s="956"/>
      <c r="BV11" s="956"/>
      <c r="BW11" s="956"/>
      <c r="BX11" s="956"/>
      <c r="BY11" s="956"/>
      <c r="BZ11" s="956"/>
      <c r="CA11" s="956"/>
      <c r="CB11" s="956"/>
      <c r="CC11" s="956"/>
      <c r="CD11" s="956"/>
      <c r="CE11" s="956"/>
      <c r="CF11" s="956"/>
      <c r="CG11" s="956"/>
      <c r="CH11" s="956"/>
      <c r="CI11" s="956"/>
      <c r="CJ11" s="956"/>
      <c r="CK11" s="956"/>
      <c r="CL11" s="956"/>
      <c r="CM11" s="956"/>
      <c r="CN11" s="956"/>
      <c r="CO11" s="956"/>
      <c r="CP11" s="956"/>
      <c r="CQ11" s="956"/>
      <c r="CR11" s="956"/>
      <c r="CS11" s="956"/>
      <c r="CT11" s="956"/>
      <c r="CU11" s="956"/>
      <c r="CV11" s="956"/>
      <c r="CW11" s="956"/>
      <c r="CX11" s="961"/>
      <c r="CY11" s="961"/>
      <c r="CZ11" s="961"/>
      <c r="DA11" s="962"/>
      <c r="DB11" s="959"/>
    </row>
    <row r="12" spans="2:106" ht="11.25" customHeight="1">
      <c r="B12" s="960"/>
      <c r="C12" s="956"/>
      <c r="D12" s="956"/>
      <c r="E12" s="956" t="s">
        <v>2615</v>
      </c>
      <c r="F12" s="956"/>
      <c r="G12" s="956"/>
      <c r="H12" s="956" t="s">
        <v>2629</v>
      </c>
      <c r="I12" s="956" t="s">
        <v>2618</v>
      </c>
      <c r="J12" s="956"/>
      <c r="K12" s="956"/>
      <c r="L12" s="956" t="s">
        <v>2616</v>
      </c>
      <c r="M12" s="956"/>
      <c r="N12" s="956"/>
      <c r="O12" s="956"/>
      <c r="P12" s="956"/>
      <c r="Q12" s="956"/>
      <c r="R12" s="956"/>
      <c r="S12" s="956" t="s">
        <v>2606</v>
      </c>
      <c r="T12" s="956"/>
      <c r="U12" s="956" t="s">
        <v>2617</v>
      </c>
      <c r="V12" s="956"/>
      <c r="W12" s="956"/>
      <c r="X12" s="956" t="s">
        <v>1167</v>
      </c>
      <c r="Y12" s="956"/>
      <c r="Z12" s="956" t="str">
        <f>TEXT(1800,"#,##0.#######")</f>
        <v>1,800.</v>
      </c>
      <c r="AA12" s="956"/>
      <c r="AB12" s="956"/>
      <c r="AC12" s="956"/>
      <c r="AD12" s="956"/>
      <c r="AE12" s="956" t="s">
        <v>1016</v>
      </c>
      <c r="AF12" s="956"/>
      <c r="AG12" s="956" t="s">
        <v>682</v>
      </c>
      <c r="AH12" s="956" t="s">
        <v>2618</v>
      </c>
      <c r="AI12" s="956"/>
      <c r="AJ12" s="956"/>
      <c r="AK12" s="956"/>
      <c r="AL12" s="956"/>
      <c r="AM12" s="956"/>
      <c r="AN12" s="956"/>
      <c r="AO12" s="956"/>
      <c r="AP12" s="956"/>
      <c r="AQ12" s="956"/>
      <c r="AR12" s="956"/>
      <c r="AS12" s="956"/>
      <c r="AT12" s="956"/>
      <c r="AU12" s="956"/>
      <c r="AV12" s="956"/>
      <c r="AW12" s="956"/>
      <c r="AX12" s="956"/>
      <c r="AY12" s="956"/>
      <c r="AZ12" s="956"/>
      <c r="BA12" s="956"/>
      <c r="BB12" s="956"/>
      <c r="BC12" s="956"/>
      <c r="BD12" s="956"/>
      <c r="BE12" s="956"/>
      <c r="BF12" s="956"/>
      <c r="BG12" s="956"/>
      <c r="BH12" s="956"/>
      <c r="BI12" s="956"/>
      <c r="BJ12" s="956"/>
      <c r="BK12" s="956"/>
      <c r="BL12" s="956"/>
      <c r="BM12" s="956"/>
      <c r="BN12" s="956"/>
      <c r="BO12" s="956"/>
      <c r="BP12" s="956"/>
      <c r="BQ12" s="956"/>
      <c r="BR12" s="956"/>
      <c r="BS12" s="956"/>
      <c r="BT12" s="956"/>
      <c r="BU12" s="956"/>
      <c r="BV12" s="956"/>
      <c r="BW12" s="956"/>
      <c r="BX12" s="956"/>
      <c r="BY12" s="956"/>
      <c r="BZ12" s="956"/>
      <c r="CA12" s="956"/>
      <c r="CB12" s="956"/>
      <c r="CC12" s="956"/>
      <c r="CD12" s="956"/>
      <c r="CE12" s="956"/>
      <c r="CF12" s="956"/>
      <c r="CG12" s="956"/>
      <c r="CH12" s="956"/>
      <c r="CI12" s="956"/>
      <c r="CJ12" s="956"/>
      <c r="CK12" s="956"/>
      <c r="CL12" s="956"/>
      <c r="CM12" s="956"/>
      <c r="CN12" s="956"/>
      <c r="CO12" s="956"/>
      <c r="CP12" s="956"/>
      <c r="CQ12" s="956"/>
      <c r="CR12" s="956"/>
      <c r="CS12" s="956"/>
      <c r="CT12" s="956"/>
      <c r="CU12" s="956"/>
      <c r="CV12" s="956"/>
      <c r="CW12" s="956"/>
      <c r="CX12" s="961"/>
      <c r="CY12" s="961"/>
      <c r="CZ12" s="961"/>
      <c r="DA12" s="962"/>
      <c r="DB12" s="959"/>
    </row>
    <row r="13" spans="2:106" ht="11.25" customHeight="1">
      <c r="B13" s="960"/>
      <c r="C13" s="956"/>
      <c r="D13" s="956"/>
      <c r="E13" s="956"/>
      <c r="F13" s="956"/>
      <c r="G13" s="956"/>
      <c r="H13" s="956" t="s">
        <v>2619</v>
      </c>
      <c r="I13" s="956"/>
      <c r="J13" s="956"/>
      <c r="K13" s="956"/>
      <c r="L13" s="956"/>
      <c r="M13" s="956"/>
      <c r="N13" s="956"/>
      <c r="O13" s="956" t="s">
        <v>2616</v>
      </c>
      <c r="P13" s="956"/>
      <c r="Q13" s="956"/>
      <c r="R13" s="956"/>
      <c r="S13" s="956"/>
      <c r="T13" s="956"/>
      <c r="U13" s="956"/>
      <c r="V13" s="956" t="s">
        <v>2606</v>
      </c>
      <c r="W13" s="956"/>
      <c r="X13" s="956" t="s">
        <v>2605</v>
      </c>
      <c r="Y13" s="956"/>
      <c r="Z13" s="956" t="s">
        <v>1167</v>
      </c>
      <c r="AA13" s="956"/>
      <c r="AB13" s="956" t="s">
        <v>2617</v>
      </c>
      <c r="AC13" s="956"/>
      <c r="AD13" s="956"/>
      <c r="AE13" s="956" t="s">
        <v>2607</v>
      </c>
      <c r="AF13" s="956"/>
      <c r="AG13" s="956"/>
      <c r="AH13" s="956" t="str">
        <f>TEXT(8,"#,##0.#######")</f>
        <v>8.</v>
      </c>
      <c r="AI13" s="956" t="s">
        <v>605</v>
      </c>
      <c r="AJ13" s="956"/>
      <c r="AK13" s="956"/>
      <c r="AL13" s="956" t="s">
        <v>1167</v>
      </c>
      <c r="AM13" s="956"/>
      <c r="AN13" s="956" t="str">
        <f>TEXT(Z12,"#,##0.#######")</f>
        <v>1,800.</v>
      </c>
      <c r="AO13" s="956"/>
      <c r="AP13" s="956"/>
      <c r="AQ13" s="956"/>
      <c r="AR13" s="956"/>
      <c r="AS13" s="956"/>
      <c r="AT13" s="956" t="s">
        <v>2607</v>
      </c>
      <c r="AU13" s="956"/>
      <c r="AV13" s="956"/>
      <c r="AW13" s="956" t="str">
        <f>TEXT(AH13,"#,##0.#######")</f>
        <v>8.</v>
      </c>
      <c r="AX13" s="956"/>
      <c r="AY13" s="956" t="s">
        <v>1167</v>
      </c>
      <c r="AZ13" s="956"/>
      <c r="BA13" s="956"/>
      <c r="BB13" s="956" t="str">
        <f>TEXT(ROUND(Z12/AH13,2),"#,##0.#######")</f>
        <v>225.</v>
      </c>
      <c r="BC13" s="956"/>
      <c r="BD13" s="956"/>
      <c r="BE13" s="956"/>
      <c r="BF13" s="956"/>
      <c r="BG13" s="956"/>
      <c r="BH13" s="956" t="s">
        <v>1016</v>
      </c>
      <c r="BI13" s="956"/>
      <c r="BJ13" s="956" t="s">
        <v>682</v>
      </c>
      <c r="BK13" s="956" t="s">
        <v>605</v>
      </c>
      <c r="BL13" s="956"/>
      <c r="BM13" s="956"/>
      <c r="BN13" s="956"/>
      <c r="BO13" s="956"/>
      <c r="BP13" s="956"/>
      <c r="BQ13" s="956"/>
      <c r="BR13" s="956"/>
      <c r="BS13" s="956"/>
      <c r="BT13" s="956"/>
      <c r="BU13" s="956"/>
      <c r="BV13" s="956"/>
      <c r="BW13" s="956"/>
      <c r="BX13" s="956"/>
      <c r="BY13" s="956"/>
      <c r="BZ13" s="956"/>
      <c r="CA13" s="956"/>
      <c r="CB13" s="956"/>
      <c r="CC13" s="956"/>
      <c r="CD13" s="956"/>
      <c r="CE13" s="956"/>
      <c r="CF13" s="956"/>
      <c r="CG13" s="956"/>
      <c r="CH13" s="956"/>
      <c r="CI13" s="956"/>
      <c r="CJ13" s="956"/>
      <c r="CK13" s="956"/>
      <c r="CL13" s="956"/>
      <c r="CM13" s="956"/>
      <c r="CN13" s="956"/>
      <c r="CO13" s="956"/>
      <c r="CP13" s="956"/>
      <c r="CQ13" s="956"/>
      <c r="CR13" s="956"/>
      <c r="CS13" s="956"/>
      <c r="CT13" s="956"/>
      <c r="CU13" s="956"/>
      <c r="CV13" s="956"/>
      <c r="CW13" s="956"/>
      <c r="CX13" s="961"/>
      <c r="CY13" s="961"/>
      <c r="CZ13" s="961"/>
      <c r="DA13" s="962"/>
      <c r="DB13" s="959"/>
    </row>
    <row r="14" spans="2:106" ht="11.25" customHeight="1">
      <c r="B14" s="960"/>
      <c r="C14" s="956"/>
      <c r="D14" s="956"/>
      <c r="E14" s="956"/>
      <c r="F14" s="956"/>
      <c r="G14" s="956"/>
      <c r="H14" s="956"/>
      <c r="I14" s="956"/>
      <c r="J14" s="956"/>
      <c r="K14" s="956"/>
      <c r="L14" s="956"/>
      <c r="M14" s="956"/>
      <c r="N14" s="956"/>
      <c r="O14" s="956"/>
      <c r="P14" s="956"/>
      <c r="Q14" s="956"/>
      <c r="R14" s="956"/>
      <c r="S14" s="956"/>
      <c r="T14" s="956"/>
      <c r="U14" s="956"/>
      <c r="V14" s="956"/>
      <c r="W14" s="956"/>
      <c r="X14" s="956"/>
      <c r="Y14" s="956"/>
      <c r="Z14" s="956"/>
      <c r="AA14" s="956"/>
      <c r="AB14" s="956"/>
      <c r="AC14" s="956"/>
      <c r="AD14" s="956"/>
      <c r="AE14" s="956"/>
      <c r="AF14" s="956"/>
      <c r="AG14" s="956"/>
      <c r="AH14" s="956"/>
      <c r="AI14" s="956"/>
      <c r="AJ14" s="956"/>
      <c r="AK14" s="956"/>
      <c r="AL14" s="956"/>
      <c r="AM14" s="956"/>
      <c r="AN14" s="956"/>
      <c r="AO14" s="956"/>
      <c r="AP14" s="956"/>
      <c r="AQ14" s="956"/>
      <c r="AR14" s="956"/>
      <c r="AS14" s="956"/>
      <c r="AT14" s="956"/>
      <c r="AU14" s="956"/>
      <c r="AV14" s="956"/>
      <c r="AW14" s="956"/>
      <c r="AX14" s="956"/>
      <c r="AY14" s="956"/>
      <c r="AZ14" s="956"/>
      <c r="BA14" s="956"/>
      <c r="BB14" s="956"/>
      <c r="BC14" s="956"/>
      <c r="BD14" s="956"/>
      <c r="BE14" s="956"/>
      <c r="BF14" s="956"/>
      <c r="BG14" s="956"/>
      <c r="BH14" s="956"/>
      <c r="BI14" s="956"/>
      <c r="BJ14" s="956"/>
      <c r="BK14" s="956"/>
      <c r="BL14" s="956"/>
      <c r="BM14" s="956"/>
      <c r="BN14" s="956"/>
      <c r="BO14" s="956"/>
      <c r="BP14" s="956"/>
      <c r="BQ14" s="956"/>
      <c r="BR14" s="956"/>
      <c r="BS14" s="956"/>
      <c r="BT14" s="956"/>
      <c r="BU14" s="956"/>
      <c r="BV14" s="956"/>
      <c r="BW14" s="956"/>
      <c r="BX14" s="956"/>
      <c r="BY14" s="956"/>
      <c r="BZ14" s="956"/>
      <c r="CA14" s="956"/>
      <c r="CB14" s="956"/>
      <c r="CC14" s="956"/>
      <c r="CD14" s="956"/>
      <c r="CE14" s="956"/>
      <c r="CF14" s="956"/>
      <c r="CG14" s="956"/>
      <c r="CH14" s="956"/>
      <c r="CI14" s="956"/>
      <c r="CJ14" s="956"/>
      <c r="CK14" s="956"/>
      <c r="CL14" s="956"/>
      <c r="CM14" s="956"/>
      <c r="CN14" s="956"/>
      <c r="CO14" s="956"/>
      <c r="CP14" s="956"/>
      <c r="CQ14" s="956"/>
      <c r="CR14" s="956"/>
      <c r="CS14" s="956"/>
      <c r="CT14" s="956"/>
      <c r="CU14" s="956"/>
      <c r="CV14" s="956"/>
      <c r="CW14" s="956"/>
      <c r="CX14" s="961"/>
      <c r="CY14" s="961"/>
      <c r="CZ14" s="961"/>
      <c r="DA14" s="962"/>
      <c r="DB14" s="959"/>
    </row>
    <row r="15" spans="2:106" ht="11.25" customHeight="1">
      <c r="B15" s="960"/>
      <c r="C15" s="956"/>
      <c r="D15" s="956" t="s">
        <v>2600</v>
      </c>
      <c r="E15" s="956"/>
      <c r="F15" s="956"/>
      <c r="G15" s="956" t="s">
        <v>2641</v>
      </c>
      <c r="H15" s="956"/>
      <c r="I15" s="956"/>
      <c r="J15" s="956"/>
      <c r="K15" s="956"/>
      <c r="L15" s="956"/>
      <c r="M15" s="956"/>
      <c r="N15" s="956"/>
      <c r="O15" s="956"/>
      <c r="P15" s="956"/>
      <c r="Q15" s="956"/>
      <c r="R15" s="956"/>
      <c r="S15" s="956"/>
      <c r="T15" s="956"/>
      <c r="U15" s="956"/>
      <c r="V15" s="956"/>
      <c r="W15" s="956"/>
      <c r="X15" s="956"/>
      <c r="Y15" s="956"/>
      <c r="Z15" s="956"/>
      <c r="AA15" s="956"/>
      <c r="AB15" s="956"/>
      <c r="AC15" s="956"/>
      <c r="AD15" s="956"/>
      <c r="AE15" s="956"/>
      <c r="AF15" s="956"/>
      <c r="AG15" s="956"/>
      <c r="AH15" s="956"/>
      <c r="AI15" s="956"/>
      <c r="AJ15" s="956"/>
      <c r="AK15" s="956"/>
      <c r="AL15" s="956"/>
      <c r="AM15" s="956"/>
      <c r="AN15" s="956"/>
      <c r="AO15" s="956"/>
      <c r="AP15" s="956"/>
      <c r="AQ15" s="956"/>
      <c r="AR15" s="956"/>
      <c r="AS15" s="956"/>
      <c r="AT15" s="956"/>
      <c r="AU15" s="956"/>
      <c r="AV15" s="956"/>
      <c r="AW15" s="956"/>
      <c r="AX15" s="956"/>
      <c r="AY15" s="956"/>
      <c r="AZ15" s="956"/>
      <c r="BA15" s="956"/>
      <c r="BB15" s="956"/>
      <c r="BC15" s="956"/>
      <c r="BD15" s="956"/>
      <c r="BE15" s="956"/>
      <c r="BF15" s="956"/>
      <c r="BG15" s="956"/>
      <c r="BH15" s="956"/>
      <c r="BI15" s="956"/>
      <c r="BJ15" s="956"/>
      <c r="BK15" s="956"/>
      <c r="BL15" s="956"/>
      <c r="BM15" s="956"/>
      <c r="BN15" s="956"/>
      <c r="BO15" s="956"/>
      <c r="BP15" s="956"/>
      <c r="BQ15" s="956"/>
      <c r="BR15" s="956"/>
      <c r="BS15" s="956"/>
      <c r="BT15" s="956"/>
      <c r="BU15" s="956"/>
      <c r="BV15" s="956"/>
      <c r="BW15" s="956"/>
      <c r="BX15" s="956"/>
      <c r="BY15" s="956"/>
      <c r="BZ15" s="956"/>
      <c r="CA15" s="956"/>
      <c r="CB15" s="956"/>
      <c r="CC15" s="956"/>
      <c r="CD15" s="956"/>
      <c r="CE15" s="956"/>
      <c r="CF15" s="956"/>
      <c r="CG15" s="956"/>
      <c r="CH15" s="956"/>
      <c r="CI15" s="956"/>
      <c r="CJ15" s="956"/>
      <c r="CK15" s="956"/>
      <c r="CL15" s="956"/>
      <c r="CM15" s="956"/>
      <c r="CN15" s="956"/>
      <c r="CO15" s="956"/>
      <c r="CP15" s="956"/>
      <c r="CQ15" s="956"/>
      <c r="CR15" s="956"/>
      <c r="CS15" s="956"/>
      <c r="CT15" s="956"/>
      <c r="CU15" s="956"/>
      <c r="CV15" s="956"/>
      <c r="CW15" s="956"/>
      <c r="CX15" s="961"/>
      <c r="CY15" s="961"/>
      <c r="CZ15" s="961"/>
      <c r="DA15" s="962"/>
      <c r="DB15" s="959"/>
    </row>
    <row r="16" spans="2:106" ht="11.25" customHeight="1">
      <c r="B16" s="960"/>
      <c r="C16" s="956"/>
      <c r="D16" s="956"/>
      <c r="E16" s="956"/>
      <c r="F16" s="956"/>
      <c r="G16" s="956"/>
      <c r="H16" s="956"/>
      <c r="I16" s="956"/>
      <c r="J16" s="956"/>
      <c r="K16" s="956"/>
      <c r="L16" s="956"/>
      <c r="M16" s="956"/>
      <c r="N16" s="956"/>
      <c r="O16" s="956"/>
      <c r="P16" s="956"/>
      <c r="Q16" s="956"/>
      <c r="R16" s="956"/>
      <c r="S16" s="956"/>
      <c r="T16" s="956"/>
      <c r="U16" s="956"/>
      <c r="V16" s="956"/>
      <c r="W16" s="956"/>
      <c r="X16" s="956"/>
      <c r="Y16" s="956"/>
      <c r="Z16" s="956"/>
      <c r="AA16" s="956"/>
      <c r="AB16" s="956"/>
      <c r="AC16" s="956"/>
      <c r="AD16" s="956"/>
      <c r="AE16" s="956"/>
      <c r="AF16" s="956"/>
      <c r="AG16" s="956"/>
      <c r="AH16" s="956"/>
      <c r="AI16" s="956"/>
      <c r="AJ16" s="956"/>
      <c r="AK16" s="956"/>
      <c r="AL16" s="956"/>
      <c r="AM16" s="956"/>
      <c r="AN16" s="956"/>
      <c r="AO16" s="956"/>
      <c r="AP16" s="956"/>
      <c r="AQ16" s="956"/>
      <c r="AR16" s="956"/>
      <c r="AS16" s="956"/>
      <c r="AT16" s="956"/>
      <c r="AU16" s="956"/>
      <c r="AV16" s="956"/>
      <c r="AW16" s="956"/>
      <c r="AX16" s="956"/>
      <c r="AY16" s="956"/>
      <c r="AZ16" s="956"/>
      <c r="BA16" s="956"/>
      <c r="BB16" s="956"/>
      <c r="BC16" s="956"/>
      <c r="BD16" s="956"/>
      <c r="BE16" s="956"/>
      <c r="BF16" s="956"/>
      <c r="BG16" s="956"/>
      <c r="BH16" s="956"/>
      <c r="BI16" s="956"/>
      <c r="BJ16" s="956"/>
      <c r="BK16" s="956"/>
      <c r="BL16" s="956"/>
      <c r="BM16" s="956"/>
      <c r="BN16" s="956"/>
      <c r="BO16" s="956"/>
      <c r="BP16" s="956"/>
      <c r="BQ16" s="956"/>
      <c r="BR16" s="956"/>
      <c r="BS16" s="956"/>
      <c r="BT16" s="956"/>
      <c r="BU16" s="956"/>
      <c r="BV16" s="956"/>
      <c r="BW16" s="956"/>
      <c r="BX16" s="956"/>
      <c r="BY16" s="956"/>
      <c r="BZ16" s="956"/>
      <c r="CA16" s="956"/>
      <c r="CB16" s="956"/>
      <c r="CC16" s="956"/>
      <c r="CD16" s="956"/>
      <c r="CE16" s="956"/>
      <c r="CF16" s="956"/>
      <c r="CG16" s="956"/>
      <c r="CH16" s="956"/>
      <c r="CI16" s="956"/>
      <c r="CJ16" s="956"/>
      <c r="CK16" s="956"/>
      <c r="CL16" s="956"/>
      <c r="CM16" s="956"/>
      <c r="CN16" s="956"/>
      <c r="CO16" s="956"/>
      <c r="CP16" s="956"/>
      <c r="CQ16" s="956"/>
      <c r="CR16" s="956"/>
      <c r="CS16" s="956"/>
      <c r="CT16" s="956"/>
      <c r="CU16" s="956"/>
      <c r="CV16" s="956"/>
      <c r="CW16" s="956"/>
      <c r="CX16" s="961"/>
      <c r="CY16" s="961"/>
      <c r="CZ16" s="961"/>
      <c r="DA16" s="962"/>
      <c r="DB16" s="959"/>
    </row>
    <row r="17" spans="2:106" ht="11.25" customHeight="1">
      <c r="B17" s="960"/>
      <c r="C17" s="956"/>
      <c r="D17" s="956"/>
      <c r="E17" s="956"/>
      <c r="F17" s="956"/>
      <c r="G17" s="956" t="s">
        <v>2642</v>
      </c>
      <c r="H17" s="956"/>
      <c r="I17" s="956"/>
      <c r="J17" s="956"/>
      <c r="K17" s="956"/>
      <c r="L17" s="956"/>
      <c r="M17" s="956"/>
      <c r="N17" s="956"/>
      <c r="O17" s="956"/>
      <c r="P17" s="956"/>
      <c r="Q17" s="956"/>
      <c r="R17" s="956" t="s">
        <v>2606</v>
      </c>
      <c r="S17" s="956"/>
      <c r="T17" s="956" t="str">
        <f>TEXT([9]노임단가!F12,"#,##0")</f>
        <v>267,989</v>
      </c>
      <c r="U17" s="956"/>
      <c r="V17" s="956"/>
      <c r="W17" s="956"/>
      <c r="X17" s="956"/>
      <c r="Y17" s="956"/>
      <c r="Z17" s="956"/>
      <c r="AA17" s="956"/>
      <c r="AB17" s="956"/>
      <c r="AC17" s="956"/>
      <c r="AD17" s="956" t="s">
        <v>683</v>
      </c>
      <c r="AE17" s="956"/>
      <c r="AF17" s="956"/>
      <c r="AG17" s="956" t="str">
        <f>TEXT(4,"#,##0.#######")</f>
        <v>4.</v>
      </c>
      <c r="AH17" s="956"/>
      <c r="AI17" s="956"/>
      <c r="AJ17" s="956" t="s">
        <v>1328</v>
      </c>
      <c r="AK17" s="956"/>
      <c r="AL17" s="956"/>
      <c r="AM17" s="956" t="s">
        <v>2607</v>
      </c>
      <c r="AN17" s="956"/>
      <c r="AO17" s="956"/>
      <c r="AP17" s="956" t="s">
        <v>2617</v>
      </c>
      <c r="AQ17" s="956"/>
      <c r="AR17" s="956"/>
      <c r="AS17" s="956" t="s">
        <v>1167</v>
      </c>
      <c r="AT17" s="956"/>
      <c r="AU17" s="956" t="str">
        <f>TEXT(T17,"#,##0.#######")</f>
        <v>267,989.</v>
      </c>
      <c r="AV17" s="956"/>
      <c r="AW17" s="956"/>
      <c r="AX17" s="956"/>
      <c r="AY17" s="956"/>
      <c r="AZ17" s="956"/>
      <c r="BA17" s="956"/>
      <c r="BB17" s="956"/>
      <c r="BC17" s="956" t="s">
        <v>683</v>
      </c>
      <c r="BD17" s="956"/>
      <c r="BE17" s="956"/>
      <c r="BF17" s="956" t="str">
        <f>TEXT(AG17,"#,##0.#######")</f>
        <v>4.</v>
      </c>
      <c r="BG17" s="956"/>
      <c r="BH17" s="956" t="s">
        <v>2607</v>
      </c>
      <c r="BI17" s="956"/>
      <c r="BJ17" s="956"/>
      <c r="BK17" s="956" t="str">
        <f>TEXT(Z12,"#,##0.#######")</f>
        <v>1,800.</v>
      </c>
      <c r="BL17" s="956"/>
      <c r="BM17" s="956"/>
      <c r="BN17" s="956"/>
      <c r="BO17" s="956"/>
      <c r="BP17" s="956"/>
      <c r="BQ17" s="956" t="s">
        <v>1167</v>
      </c>
      <c r="BR17" s="956"/>
      <c r="BS17" s="956" t="str">
        <f>TEXT(TRUNC(T17*AG17/Z12,1),"#,##0.#######")</f>
        <v>595.5</v>
      </c>
      <c r="BT17" s="956"/>
      <c r="BU17" s="956"/>
      <c r="BV17" s="956"/>
      <c r="BW17" s="956"/>
      <c r="BX17" s="956"/>
      <c r="BY17" s="956"/>
      <c r="BZ17" s="956"/>
      <c r="CA17" s="956"/>
      <c r="CB17" s="956"/>
      <c r="CC17" s="956"/>
      <c r="CD17" s="956"/>
      <c r="CE17" s="956"/>
      <c r="CF17" s="956"/>
      <c r="CG17" s="956"/>
      <c r="CH17" s="956"/>
      <c r="CI17" s="956"/>
      <c r="CJ17" s="956"/>
      <c r="CK17" s="956"/>
      <c r="CL17" s="956"/>
      <c r="CM17" s="956"/>
      <c r="CN17" s="956"/>
      <c r="CO17" s="956"/>
      <c r="CP17" s="956"/>
      <c r="CQ17" s="956"/>
      <c r="CR17" s="956"/>
      <c r="CS17" s="956"/>
      <c r="CT17" s="956"/>
      <c r="CU17" s="956"/>
      <c r="CV17" s="956"/>
      <c r="CW17" s="956"/>
      <c r="CX17" s="961"/>
      <c r="CY17" s="961"/>
      <c r="CZ17" s="961"/>
      <c r="DA17" s="962"/>
      <c r="DB17" s="959"/>
    </row>
    <row r="18" spans="2:106" ht="11.25" customHeight="1">
      <c r="B18" s="960"/>
      <c r="C18" s="956"/>
      <c r="D18" s="956"/>
      <c r="E18" s="956"/>
      <c r="F18" s="956"/>
      <c r="G18" s="956"/>
      <c r="H18" s="956"/>
      <c r="I18" s="956"/>
      <c r="J18" s="956"/>
      <c r="K18" s="956"/>
      <c r="L18" s="956"/>
      <c r="M18" s="956"/>
      <c r="N18" s="956"/>
      <c r="O18" s="956"/>
      <c r="P18" s="956"/>
      <c r="Q18" s="956"/>
      <c r="R18" s="956"/>
      <c r="S18" s="956"/>
      <c r="T18" s="956"/>
      <c r="U18" s="956"/>
      <c r="V18" s="956"/>
      <c r="W18" s="956"/>
      <c r="X18" s="956"/>
      <c r="Y18" s="956"/>
      <c r="Z18" s="956"/>
      <c r="AA18" s="956"/>
      <c r="AB18" s="956"/>
      <c r="AC18" s="956"/>
      <c r="AD18" s="956"/>
      <c r="AE18" s="956"/>
      <c r="AF18" s="956"/>
      <c r="AG18" s="956"/>
      <c r="AH18" s="956"/>
      <c r="AI18" s="956"/>
      <c r="AJ18" s="956"/>
      <c r="AK18" s="956"/>
      <c r="AL18" s="956"/>
      <c r="AM18" s="956"/>
      <c r="AN18" s="956"/>
      <c r="AO18" s="956"/>
      <c r="AP18" s="956"/>
      <c r="AQ18" s="956"/>
      <c r="AR18" s="956"/>
      <c r="AS18" s="956"/>
      <c r="AT18" s="956"/>
      <c r="AU18" s="956"/>
      <c r="AV18" s="956"/>
      <c r="AW18" s="956"/>
      <c r="AX18" s="956"/>
      <c r="AY18" s="956"/>
      <c r="AZ18" s="956"/>
      <c r="BA18" s="956"/>
      <c r="BB18" s="956"/>
      <c r="BC18" s="956"/>
      <c r="BD18" s="956"/>
      <c r="BE18" s="956"/>
      <c r="BF18" s="956"/>
      <c r="BG18" s="956"/>
      <c r="BH18" s="956"/>
      <c r="BI18" s="956"/>
      <c r="BJ18" s="956"/>
      <c r="BK18" s="956"/>
      <c r="BL18" s="956"/>
      <c r="BM18" s="956"/>
      <c r="BN18" s="956"/>
      <c r="BO18" s="956"/>
      <c r="BP18" s="956"/>
      <c r="BQ18" s="956"/>
      <c r="BR18" s="956"/>
      <c r="BS18" s="956"/>
      <c r="BT18" s="956"/>
      <c r="BU18" s="956"/>
      <c r="BV18" s="956"/>
      <c r="BW18" s="956"/>
      <c r="BX18" s="956"/>
      <c r="BY18" s="956"/>
      <c r="BZ18" s="956"/>
      <c r="CA18" s="956"/>
      <c r="CB18" s="956"/>
      <c r="CC18" s="956"/>
      <c r="CD18" s="956"/>
      <c r="CE18" s="956"/>
      <c r="CF18" s="956"/>
      <c r="CG18" s="956"/>
      <c r="CH18" s="956"/>
      <c r="CI18" s="956"/>
      <c r="CJ18" s="956"/>
      <c r="CK18" s="956"/>
      <c r="CL18" s="956"/>
      <c r="CM18" s="956"/>
      <c r="CN18" s="956"/>
      <c r="CO18" s="956"/>
      <c r="CP18" s="956"/>
      <c r="CQ18" s="956"/>
      <c r="CR18" s="956"/>
      <c r="CS18" s="956"/>
      <c r="CT18" s="956"/>
      <c r="CU18" s="956"/>
      <c r="CV18" s="956"/>
      <c r="CW18" s="956"/>
      <c r="CX18" s="961"/>
      <c r="CY18" s="961"/>
      <c r="CZ18" s="961"/>
      <c r="DA18" s="962"/>
      <c r="DB18" s="959"/>
    </row>
    <row r="19" spans="2:106" ht="11.25" customHeight="1">
      <c r="B19" s="960"/>
      <c r="C19" s="956"/>
      <c r="D19" s="956"/>
      <c r="E19" s="956"/>
      <c r="F19" s="956"/>
      <c r="G19" s="956" t="s">
        <v>1329</v>
      </c>
      <c r="H19" s="956"/>
      <c r="I19" s="956"/>
      <c r="J19" s="956"/>
      <c r="K19" s="956"/>
      <c r="L19" s="956"/>
      <c r="M19" s="956"/>
      <c r="N19" s="956"/>
      <c r="O19" s="956"/>
      <c r="P19" s="956"/>
      <c r="Q19" s="956"/>
      <c r="R19" s="956" t="s">
        <v>2606</v>
      </c>
      <c r="S19" s="956"/>
      <c r="T19" s="956" t="str">
        <f>TEXT([9]노임단가!F4,"#,##0")</f>
        <v>169,804</v>
      </c>
      <c r="U19" s="956"/>
      <c r="V19" s="956"/>
      <c r="W19" s="956"/>
      <c r="X19" s="956"/>
      <c r="Y19" s="956"/>
      <c r="Z19" s="956"/>
      <c r="AA19" s="956"/>
      <c r="AB19" s="956"/>
      <c r="AC19" s="956"/>
      <c r="AD19" s="956" t="s">
        <v>683</v>
      </c>
      <c r="AE19" s="956"/>
      <c r="AF19" s="956"/>
      <c r="AG19" s="956" t="str">
        <f>TEXT(2,"#,##0.#######")</f>
        <v>2.</v>
      </c>
      <c r="AH19" s="956"/>
      <c r="AI19" s="956"/>
      <c r="AJ19" s="956" t="s">
        <v>1328</v>
      </c>
      <c r="AK19" s="956"/>
      <c r="AL19" s="956"/>
      <c r="AM19" s="956" t="s">
        <v>2607</v>
      </c>
      <c r="AN19" s="956"/>
      <c r="AO19" s="956"/>
      <c r="AP19" s="956" t="s">
        <v>2617</v>
      </c>
      <c r="AQ19" s="956"/>
      <c r="AR19" s="956"/>
      <c r="AS19" s="956" t="s">
        <v>1167</v>
      </c>
      <c r="AT19" s="956"/>
      <c r="AU19" s="956" t="str">
        <f>TEXT(T19,"#,##0.#######")</f>
        <v>169,804.</v>
      </c>
      <c r="AV19" s="956"/>
      <c r="AW19" s="956"/>
      <c r="AX19" s="956"/>
      <c r="AY19" s="956"/>
      <c r="AZ19" s="956"/>
      <c r="BA19" s="956"/>
      <c r="BB19" s="956"/>
      <c r="BC19" s="956" t="s">
        <v>683</v>
      </c>
      <c r="BD19" s="956"/>
      <c r="BE19" s="956"/>
      <c r="BF19" s="956" t="str">
        <f>TEXT(AG19,"#,##0.#######")</f>
        <v>2.</v>
      </c>
      <c r="BG19" s="956"/>
      <c r="BH19" s="956" t="s">
        <v>2607</v>
      </c>
      <c r="BI19" s="956"/>
      <c r="BJ19" s="956"/>
      <c r="BK19" s="956" t="str">
        <f>TEXT(Z12,"#,##0.#######")</f>
        <v>1,800.</v>
      </c>
      <c r="BL19" s="956"/>
      <c r="BM19" s="956"/>
      <c r="BN19" s="956"/>
      <c r="BO19" s="956"/>
      <c r="BP19" s="956"/>
      <c r="BQ19" s="956" t="s">
        <v>1167</v>
      </c>
      <c r="BR19" s="956"/>
      <c r="BS19" s="956" t="str">
        <f>TEXT(TRUNC(T19*AG19/Z12,1),"#,##0.#######")</f>
        <v>188.6</v>
      </c>
      <c r="BT19" s="956"/>
      <c r="BU19" s="956"/>
      <c r="BV19" s="956"/>
      <c r="BW19" s="956"/>
      <c r="BX19" s="956"/>
      <c r="BY19" s="956"/>
      <c r="BZ19" s="956"/>
      <c r="CA19" s="956"/>
      <c r="CB19" s="956"/>
      <c r="CC19" s="956"/>
      <c r="CD19" s="956"/>
      <c r="CE19" s="956"/>
      <c r="CF19" s="956"/>
      <c r="CG19" s="956"/>
      <c r="CH19" s="956"/>
      <c r="CI19" s="956"/>
      <c r="CJ19" s="956"/>
      <c r="CK19" s="956"/>
      <c r="CL19" s="956"/>
      <c r="CM19" s="956"/>
      <c r="CN19" s="956"/>
      <c r="CO19" s="956"/>
      <c r="CP19" s="956"/>
      <c r="CQ19" s="956"/>
      <c r="CR19" s="956"/>
      <c r="CS19" s="956"/>
      <c r="CT19" s="956"/>
      <c r="CU19" s="956"/>
      <c r="CV19" s="956"/>
      <c r="CW19" s="956"/>
      <c r="CX19" s="961"/>
      <c r="CY19" s="961"/>
      <c r="CZ19" s="961"/>
      <c r="DA19" s="962"/>
      <c r="DB19" s="959"/>
    </row>
    <row r="20" spans="2:106" ht="11.25" customHeight="1">
      <c r="B20" s="960"/>
      <c r="C20" s="956"/>
      <c r="D20" s="956"/>
      <c r="E20" s="956"/>
      <c r="F20" s="956"/>
      <c r="G20" s="956"/>
      <c r="H20" s="956"/>
      <c r="I20" s="956"/>
      <c r="J20" s="956"/>
      <c r="K20" s="956"/>
      <c r="L20" s="956"/>
      <c r="M20" s="956"/>
      <c r="N20" s="956"/>
      <c r="O20" s="956"/>
      <c r="P20" s="956"/>
      <c r="Q20" s="956"/>
      <c r="R20" s="956"/>
      <c r="S20" s="956"/>
      <c r="T20" s="956"/>
      <c r="U20" s="956"/>
      <c r="V20" s="956"/>
      <c r="W20" s="956"/>
      <c r="X20" s="956"/>
      <c r="Y20" s="956"/>
      <c r="Z20" s="956"/>
      <c r="AA20" s="956"/>
      <c r="AB20" s="956"/>
      <c r="AC20" s="956"/>
      <c r="AD20" s="956"/>
      <c r="AE20" s="956"/>
      <c r="AF20" s="956"/>
      <c r="AG20" s="956"/>
      <c r="AH20" s="956"/>
      <c r="AI20" s="956"/>
      <c r="AJ20" s="956"/>
      <c r="AK20" s="956"/>
      <c r="AL20" s="956"/>
      <c r="AM20" s="956"/>
      <c r="AN20" s="956"/>
      <c r="AO20" s="956"/>
      <c r="AP20" s="956"/>
      <c r="AQ20" s="956"/>
      <c r="AR20" s="956"/>
      <c r="AS20" s="956"/>
      <c r="AT20" s="956"/>
      <c r="AU20" s="956"/>
      <c r="AV20" s="956"/>
      <c r="AW20" s="956"/>
      <c r="AX20" s="956"/>
      <c r="AY20" s="956"/>
      <c r="AZ20" s="956"/>
      <c r="BA20" s="956"/>
      <c r="BB20" s="956"/>
      <c r="BC20" s="956"/>
      <c r="BD20" s="956"/>
      <c r="BE20" s="956"/>
      <c r="BF20" s="956"/>
      <c r="BG20" s="956"/>
      <c r="BH20" s="956"/>
      <c r="BI20" s="956"/>
      <c r="BJ20" s="956"/>
      <c r="BK20" s="956"/>
      <c r="BL20" s="956"/>
      <c r="BM20" s="956"/>
      <c r="BN20" s="956"/>
      <c r="BO20" s="956"/>
      <c r="BP20" s="956"/>
      <c r="BQ20" s="956"/>
      <c r="BR20" s="956"/>
      <c r="BS20" s="956"/>
      <c r="BT20" s="956"/>
      <c r="BU20" s="956"/>
      <c r="BV20" s="956"/>
      <c r="BW20" s="956"/>
      <c r="BX20" s="956"/>
      <c r="BY20" s="956"/>
      <c r="BZ20" s="956"/>
      <c r="CA20" s="956"/>
      <c r="CB20" s="956"/>
      <c r="CC20" s="956"/>
      <c r="CD20" s="956"/>
      <c r="CE20" s="956"/>
      <c r="CF20" s="956"/>
      <c r="CG20" s="956"/>
      <c r="CH20" s="956"/>
      <c r="CI20" s="956"/>
      <c r="CJ20" s="956"/>
      <c r="CK20" s="956"/>
      <c r="CL20" s="956"/>
      <c r="CM20" s="956"/>
      <c r="CN20" s="956"/>
      <c r="CO20" s="956"/>
      <c r="CP20" s="956"/>
      <c r="CQ20" s="956"/>
      <c r="CR20" s="956"/>
      <c r="CS20" s="956"/>
      <c r="CT20" s="956"/>
      <c r="CU20" s="956"/>
      <c r="CV20" s="956"/>
      <c r="CW20" s="956"/>
      <c r="CX20" s="961"/>
      <c r="CY20" s="961"/>
      <c r="CZ20" s="961"/>
      <c r="DA20" s="962"/>
      <c r="DB20" s="959"/>
    </row>
    <row r="21" spans="2:106" ht="11.25" customHeight="1">
      <c r="B21" s="960"/>
      <c r="C21" s="956"/>
      <c r="D21" s="956"/>
      <c r="E21" s="956"/>
      <c r="F21" s="956"/>
      <c r="G21" s="956" t="s">
        <v>2621</v>
      </c>
      <c r="H21" s="956"/>
      <c r="I21" s="956"/>
      <c r="J21" s="956"/>
      <c r="K21" s="956"/>
      <c r="L21" s="956"/>
      <c r="M21" s="956"/>
      <c r="N21" s="956"/>
      <c r="O21" s="956"/>
      <c r="P21" s="956" t="s">
        <v>2606</v>
      </c>
      <c r="Q21" s="956"/>
      <c r="R21" s="956" t="str">
        <f>TEXT(TRUNC(BS17+BS19,1),"#,##0.#######")</f>
        <v>784.1</v>
      </c>
      <c r="S21" s="956"/>
      <c r="T21" s="956"/>
      <c r="U21" s="956"/>
      <c r="V21" s="956"/>
      <c r="W21" s="956"/>
      <c r="X21" s="956"/>
      <c r="Y21" s="956"/>
      <c r="Z21" s="956"/>
      <c r="AA21" s="956"/>
      <c r="AB21" s="956"/>
      <c r="AC21" s="956"/>
      <c r="AD21" s="956"/>
      <c r="AE21" s="956"/>
      <c r="AF21" s="956"/>
      <c r="AG21" s="956"/>
      <c r="AH21" s="956"/>
      <c r="AI21" s="956"/>
      <c r="AJ21" s="956"/>
      <c r="AK21" s="956"/>
      <c r="AL21" s="956"/>
      <c r="AM21" s="956"/>
      <c r="AN21" s="956"/>
      <c r="AO21" s="956"/>
      <c r="AP21" s="956"/>
      <c r="AQ21" s="956"/>
      <c r="AR21" s="956"/>
      <c r="AS21" s="956"/>
      <c r="AT21" s="956"/>
      <c r="AU21" s="956"/>
      <c r="AV21" s="956"/>
      <c r="AW21" s="956"/>
      <c r="AX21" s="956"/>
      <c r="AY21" s="956"/>
      <c r="AZ21" s="956"/>
      <c r="BA21" s="956"/>
      <c r="BB21" s="956"/>
      <c r="BC21" s="956"/>
      <c r="BD21" s="956"/>
      <c r="BE21" s="956"/>
      <c r="BF21" s="956"/>
      <c r="BG21" s="956"/>
      <c r="BH21" s="956"/>
      <c r="BI21" s="956"/>
      <c r="BJ21" s="956"/>
      <c r="BK21" s="956"/>
      <c r="BL21" s="956"/>
      <c r="BM21" s="956"/>
      <c r="BN21" s="956"/>
      <c r="BO21" s="956"/>
      <c r="BP21" s="956"/>
      <c r="BQ21" s="956"/>
      <c r="BR21" s="956"/>
      <c r="BS21" s="956"/>
      <c r="BT21" s="956"/>
      <c r="BU21" s="956"/>
      <c r="BV21" s="956"/>
      <c r="BW21" s="956"/>
      <c r="BX21" s="956"/>
      <c r="BY21" s="956"/>
      <c r="BZ21" s="956"/>
      <c r="CA21" s="956"/>
      <c r="CB21" s="956"/>
      <c r="CC21" s="956"/>
      <c r="CD21" s="956"/>
      <c r="CE21" s="956"/>
      <c r="CF21" s="956"/>
      <c r="CG21" s="956"/>
      <c r="CH21" s="956"/>
      <c r="CI21" s="956"/>
      <c r="CJ21" s="956"/>
      <c r="CK21" s="956"/>
      <c r="CL21" s="956"/>
      <c r="CM21" s="956"/>
      <c r="CN21" s="956"/>
      <c r="CO21" s="956"/>
      <c r="CP21" s="956"/>
      <c r="CQ21" s="956"/>
      <c r="CR21" s="956"/>
      <c r="CS21" s="956"/>
      <c r="CT21" s="956"/>
      <c r="CU21" s="956"/>
      <c r="CV21" s="956"/>
      <c r="CW21" s="956"/>
      <c r="CX21" s="961"/>
      <c r="CY21" s="961" t="str">
        <f>R21</f>
        <v>784.1</v>
      </c>
      <c r="CZ21" s="961"/>
      <c r="DA21" s="962"/>
      <c r="DB21" s="959"/>
    </row>
    <row r="22" spans="2:106" ht="11.25" customHeight="1">
      <c r="B22" s="964"/>
      <c r="C22" s="965"/>
      <c r="D22" s="965"/>
      <c r="E22" s="965"/>
      <c r="F22" s="965"/>
      <c r="G22" s="965"/>
      <c r="H22" s="965"/>
      <c r="I22" s="965"/>
      <c r="J22" s="965"/>
      <c r="K22" s="965"/>
      <c r="L22" s="965"/>
      <c r="M22" s="965"/>
      <c r="N22" s="965"/>
      <c r="O22" s="965"/>
      <c r="P22" s="965"/>
      <c r="Q22" s="965"/>
      <c r="R22" s="965"/>
      <c r="S22" s="965"/>
      <c r="T22" s="965"/>
      <c r="U22" s="965"/>
      <c r="V22" s="965"/>
      <c r="W22" s="965"/>
      <c r="X22" s="965"/>
      <c r="Y22" s="965"/>
      <c r="Z22" s="965"/>
      <c r="AA22" s="965"/>
      <c r="AB22" s="965"/>
      <c r="AC22" s="965"/>
      <c r="AD22" s="965"/>
      <c r="AE22" s="965"/>
      <c r="AF22" s="965"/>
      <c r="AG22" s="965"/>
      <c r="AH22" s="965"/>
      <c r="AI22" s="965"/>
      <c r="AJ22" s="965"/>
      <c r="AK22" s="965"/>
      <c r="AL22" s="965"/>
      <c r="AM22" s="965"/>
      <c r="AN22" s="965"/>
      <c r="AO22" s="965"/>
      <c r="AP22" s="965"/>
      <c r="AQ22" s="965"/>
      <c r="AR22" s="965"/>
      <c r="AS22" s="965"/>
      <c r="AT22" s="965"/>
      <c r="AU22" s="965"/>
      <c r="AV22" s="965"/>
      <c r="AW22" s="965"/>
      <c r="AX22" s="965"/>
      <c r="AY22" s="965"/>
      <c r="AZ22" s="965"/>
      <c r="BA22" s="965"/>
      <c r="BB22" s="965"/>
      <c r="BC22" s="965"/>
      <c r="BD22" s="965"/>
      <c r="BE22" s="965"/>
      <c r="BF22" s="965"/>
      <c r="BG22" s="965"/>
      <c r="BH22" s="965"/>
      <c r="BI22" s="965"/>
      <c r="BJ22" s="965"/>
      <c r="BK22" s="965"/>
      <c r="BL22" s="965"/>
      <c r="BM22" s="965"/>
      <c r="BN22" s="965"/>
      <c r="BO22" s="965"/>
      <c r="BP22" s="965"/>
      <c r="BQ22" s="965"/>
      <c r="BR22" s="965"/>
      <c r="BS22" s="965"/>
      <c r="BT22" s="965"/>
      <c r="BU22" s="965"/>
      <c r="BV22" s="965"/>
      <c r="BW22" s="965"/>
      <c r="BX22" s="965"/>
      <c r="BY22" s="965"/>
      <c r="BZ22" s="965"/>
      <c r="CA22" s="965"/>
      <c r="CB22" s="965"/>
      <c r="CC22" s="965"/>
      <c r="CD22" s="965"/>
      <c r="CE22" s="965"/>
      <c r="CF22" s="965"/>
      <c r="CG22" s="965"/>
      <c r="CH22" s="965"/>
      <c r="CI22" s="965"/>
      <c r="CJ22" s="965"/>
      <c r="CK22" s="965"/>
      <c r="CL22" s="965"/>
      <c r="CM22" s="965"/>
      <c r="CN22" s="965"/>
      <c r="CO22" s="965"/>
      <c r="CP22" s="965"/>
      <c r="CQ22" s="965"/>
      <c r="CR22" s="965"/>
      <c r="CS22" s="965"/>
      <c r="CT22" s="965"/>
      <c r="CU22" s="965"/>
      <c r="CV22" s="965"/>
      <c r="CW22" s="965"/>
      <c r="CX22" s="966"/>
      <c r="CY22" s="966"/>
      <c r="CZ22" s="966"/>
      <c r="DA22" s="967"/>
      <c r="DB22" s="959"/>
    </row>
    <row r="23" spans="2:106" ht="11.25" customHeight="1">
      <c r="B23" s="960"/>
      <c r="C23" s="956"/>
      <c r="D23" s="956" t="s">
        <v>2611</v>
      </c>
      <c r="E23" s="956"/>
      <c r="F23" s="956"/>
      <c r="G23" s="956" t="s">
        <v>1169</v>
      </c>
      <c r="H23" s="956"/>
      <c r="I23" s="956"/>
      <c r="J23" s="956"/>
      <c r="K23" s="956"/>
      <c r="L23" s="956"/>
      <c r="M23" s="956"/>
      <c r="N23" s="956" t="s">
        <v>2601</v>
      </c>
      <c r="O23" s="956" t="s">
        <v>2643</v>
      </c>
      <c r="P23" s="956"/>
      <c r="Q23" s="956" t="s">
        <v>2601</v>
      </c>
      <c r="R23" s="956" t="s">
        <v>2644</v>
      </c>
      <c r="S23" s="956"/>
      <c r="T23" s="956" t="s">
        <v>2602</v>
      </c>
      <c r="U23" s="956"/>
      <c r="V23" s="956" t="s">
        <v>2645</v>
      </c>
      <c r="W23" s="956"/>
      <c r="X23" s="956"/>
      <c r="Y23" s="956"/>
      <c r="Z23" s="956"/>
      <c r="AA23" s="956"/>
      <c r="AB23" s="956" t="s">
        <v>2602</v>
      </c>
      <c r="AC23" s="956"/>
      <c r="AD23" s="956"/>
      <c r="AE23" s="956"/>
      <c r="AF23" s="956"/>
      <c r="AG23" s="956"/>
      <c r="AH23" s="956"/>
      <c r="AI23" s="956"/>
      <c r="AJ23" s="956"/>
      <c r="AK23" s="956"/>
      <c r="AL23" s="956"/>
      <c r="AM23" s="956"/>
      <c r="AN23" s="956"/>
      <c r="AO23" s="956"/>
      <c r="AP23" s="956"/>
      <c r="AQ23" s="956"/>
      <c r="AR23" s="956"/>
      <c r="AS23" s="956"/>
      <c r="AT23" s="956"/>
      <c r="AU23" s="956"/>
      <c r="AV23" s="956"/>
      <c r="AW23" s="956"/>
      <c r="AX23" s="956"/>
      <c r="AY23" s="956"/>
      <c r="AZ23" s="956"/>
      <c r="BA23" s="956"/>
      <c r="BB23" s="956"/>
      <c r="BC23" s="956"/>
      <c r="BD23" s="956"/>
      <c r="BE23" s="956"/>
      <c r="BF23" s="956"/>
      <c r="BG23" s="956"/>
      <c r="BH23" s="956"/>
      <c r="BI23" s="956"/>
      <c r="BJ23" s="956"/>
      <c r="BK23" s="956"/>
      <c r="BL23" s="956"/>
      <c r="BM23" s="956"/>
      <c r="BN23" s="956"/>
      <c r="BO23" s="956"/>
      <c r="BP23" s="956"/>
      <c r="BQ23" s="956"/>
      <c r="BR23" s="956"/>
      <c r="BS23" s="956"/>
      <c r="BT23" s="956"/>
      <c r="BU23" s="956"/>
      <c r="BV23" s="956"/>
      <c r="BW23" s="956"/>
      <c r="BX23" s="956"/>
      <c r="BY23" s="956"/>
      <c r="BZ23" s="956"/>
      <c r="CA23" s="956"/>
      <c r="CB23" s="956"/>
      <c r="CC23" s="956"/>
      <c r="CD23" s="956"/>
      <c r="CE23" s="956"/>
      <c r="CF23" s="956"/>
      <c r="CG23" s="956"/>
      <c r="CH23" s="956"/>
      <c r="CI23" s="956"/>
      <c r="CJ23" s="956"/>
      <c r="CK23" s="956"/>
      <c r="CL23" s="956"/>
      <c r="CM23" s="956"/>
      <c r="CN23" s="956"/>
      <c r="CO23" s="956"/>
      <c r="CP23" s="956"/>
      <c r="CQ23" s="956"/>
      <c r="CR23" s="956"/>
      <c r="CS23" s="956"/>
      <c r="CT23" s="956"/>
      <c r="CU23" s="956"/>
      <c r="CV23" s="956"/>
      <c r="CW23" s="956"/>
      <c r="CX23" s="961"/>
      <c r="CY23" s="961"/>
      <c r="CZ23" s="961"/>
      <c r="DA23" s="962"/>
      <c r="DB23" s="959"/>
    </row>
    <row r="24" spans="2:106" ht="11.25" customHeight="1">
      <c r="B24" s="960"/>
      <c r="C24" s="956"/>
      <c r="D24" s="956"/>
      <c r="E24" s="956"/>
      <c r="F24" s="956"/>
      <c r="G24" s="956"/>
      <c r="H24" s="956"/>
      <c r="I24" s="956"/>
      <c r="J24" s="956"/>
      <c r="K24" s="956"/>
      <c r="L24" s="956"/>
      <c r="M24" s="956"/>
      <c r="N24" s="956"/>
      <c r="O24" s="956"/>
      <c r="P24" s="956"/>
      <c r="Q24" s="956"/>
      <c r="R24" s="956"/>
      <c r="S24" s="956"/>
      <c r="T24" s="956"/>
      <c r="U24" s="956"/>
      <c r="V24" s="956"/>
      <c r="W24" s="956"/>
      <c r="X24" s="956"/>
      <c r="Y24" s="956"/>
      <c r="Z24" s="956"/>
      <c r="AA24" s="956"/>
      <c r="AB24" s="956"/>
      <c r="AC24" s="956"/>
      <c r="AD24" s="956"/>
      <c r="AE24" s="956"/>
      <c r="AF24" s="956"/>
      <c r="AG24" s="956"/>
      <c r="AH24" s="956"/>
      <c r="AI24" s="956"/>
      <c r="AJ24" s="956"/>
      <c r="AK24" s="956"/>
      <c r="AL24" s="956"/>
      <c r="AM24" s="956"/>
      <c r="AN24" s="956"/>
      <c r="AO24" s="956"/>
      <c r="AP24" s="956"/>
      <c r="AQ24" s="956"/>
      <c r="AR24" s="956"/>
      <c r="AS24" s="956"/>
      <c r="AT24" s="956"/>
      <c r="AU24" s="956"/>
      <c r="AV24" s="956"/>
      <c r="AW24" s="956"/>
      <c r="AX24" s="956"/>
      <c r="AY24" s="956"/>
      <c r="AZ24" s="956"/>
      <c r="BA24" s="956"/>
      <c r="BB24" s="956"/>
      <c r="BC24" s="956"/>
      <c r="BD24" s="956"/>
      <c r="BE24" s="956"/>
      <c r="BF24" s="956"/>
      <c r="BG24" s="956"/>
      <c r="BH24" s="956"/>
      <c r="BI24" s="956"/>
      <c r="BJ24" s="956"/>
      <c r="BK24" s="956"/>
      <c r="BL24" s="956"/>
      <c r="BM24" s="956"/>
      <c r="BN24" s="956"/>
      <c r="BO24" s="956"/>
      <c r="BP24" s="956"/>
      <c r="BQ24" s="956"/>
      <c r="BR24" s="956"/>
      <c r="BS24" s="956"/>
      <c r="BT24" s="956"/>
      <c r="BU24" s="956"/>
      <c r="BV24" s="956"/>
      <c r="BW24" s="956"/>
      <c r="BX24" s="956"/>
      <c r="BY24" s="956"/>
      <c r="BZ24" s="956"/>
      <c r="CA24" s="956"/>
      <c r="CB24" s="956"/>
      <c r="CC24" s="956"/>
      <c r="CD24" s="956"/>
      <c r="CE24" s="956"/>
      <c r="CF24" s="956"/>
      <c r="CG24" s="956"/>
      <c r="CH24" s="956"/>
      <c r="CI24" s="956"/>
      <c r="CJ24" s="956"/>
      <c r="CK24" s="956"/>
      <c r="CL24" s="956"/>
      <c r="CM24" s="956"/>
      <c r="CN24" s="956"/>
      <c r="CO24" s="956"/>
      <c r="CP24" s="956"/>
      <c r="CQ24" s="956"/>
      <c r="CR24" s="956"/>
      <c r="CS24" s="956"/>
      <c r="CT24" s="956"/>
      <c r="CU24" s="956"/>
      <c r="CV24" s="956"/>
      <c r="CW24" s="956"/>
      <c r="CX24" s="961"/>
      <c r="CY24" s="961"/>
      <c r="CZ24" s="961"/>
      <c r="DA24" s="962"/>
      <c r="DB24" s="959"/>
    </row>
    <row r="25" spans="2:106" ht="11.25" customHeight="1">
      <c r="B25" s="960"/>
      <c r="C25" s="956"/>
      <c r="D25" s="956"/>
      <c r="E25" s="956"/>
      <c r="F25" s="956"/>
      <c r="G25" s="956" t="s">
        <v>2629</v>
      </c>
      <c r="H25" s="956" t="s">
        <v>2646</v>
      </c>
      <c r="I25" s="956"/>
      <c r="J25" s="956"/>
      <c r="K25" s="956"/>
      <c r="L25" s="956"/>
      <c r="M25" s="956" t="s">
        <v>2647</v>
      </c>
      <c r="N25" s="956"/>
      <c r="O25" s="956"/>
      <c r="P25" s="956"/>
      <c r="Q25" s="956" t="s">
        <v>2648</v>
      </c>
      <c r="R25" s="956"/>
      <c r="S25" s="956"/>
      <c r="T25" s="956"/>
      <c r="U25" s="956"/>
      <c r="V25" s="956"/>
      <c r="W25" s="956" t="s">
        <v>2630</v>
      </c>
      <c r="X25" s="956"/>
      <c r="Y25" s="956" t="s">
        <v>2633</v>
      </c>
      <c r="Z25" s="956"/>
      <c r="AA25" s="956"/>
      <c r="AB25" s="956"/>
      <c r="AC25" s="956"/>
      <c r="AD25" s="956"/>
      <c r="AE25" s="956"/>
      <c r="AF25" s="956"/>
      <c r="AG25" s="956"/>
      <c r="AH25" s="956" t="s">
        <v>2634</v>
      </c>
      <c r="AI25" s="956"/>
      <c r="AJ25" s="956" t="s">
        <v>2649</v>
      </c>
      <c r="AK25" s="956"/>
      <c r="AL25" s="956"/>
      <c r="AM25" s="956"/>
      <c r="AN25" s="956"/>
      <c r="AO25" s="956"/>
      <c r="AP25" s="956"/>
      <c r="AQ25" s="956"/>
      <c r="AR25" s="956"/>
      <c r="AS25" s="956" t="s">
        <v>2629</v>
      </c>
      <c r="AT25" s="956" t="s">
        <v>2650</v>
      </c>
      <c r="AU25" s="956"/>
      <c r="AV25" s="956"/>
      <c r="AW25" s="956"/>
      <c r="AX25" s="956"/>
      <c r="AY25" s="956" t="s">
        <v>2651</v>
      </c>
      <c r="AZ25" s="956"/>
      <c r="BA25" s="956"/>
      <c r="BB25" s="956"/>
      <c r="BC25" s="956"/>
      <c r="BD25" s="956" t="s">
        <v>2652</v>
      </c>
      <c r="BE25" s="956"/>
      <c r="BF25" s="956"/>
      <c r="BG25" s="956"/>
      <c r="BH25" s="956"/>
      <c r="BI25" s="956"/>
      <c r="BJ25" s="956"/>
      <c r="BK25" s="956"/>
      <c r="BL25" s="956"/>
      <c r="BM25" s="956"/>
      <c r="BN25" s="956"/>
      <c r="BO25" s="956"/>
      <c r="BP25" s="956"/>
      <c r="BQ25" s="956"/>
      <c r="BR25" s="956"/>
      <c r="BS25" s="956"/>
      <c r="BT25" s="956"/>
      <c r="BU25" s="956"/>
      <c r="BV25" s="956"/>
      <c r="BW25" s="956"/>
      <c r="BX25" s="956"/>
      <c r="BY25" s="956"/>
      <c r="BZ25" s="956"/>
      <c r="CA25" s="956"/>
      <c r="CB25" s="956"/>
      <c r="CC25" s="956"/>
      <c r="CD25" s="956"/>
      <c r="CE25" s="956"/>
      <c r="CF25" s="956"/>
      <c r="CG25" s="956"/>
      <c r="CH25" s="956"/>
      <c r="CI25" s="956"/>
      <c r="CJ25" s="956"/>
      <c r="CK25" s="956"/>
      <c r="CL25" s="956"/>
      <c r="CM25" s="956"/>
      <c r="CN25" s="956"/>
      <c r="CO25" s="956"/>
      <c r="CP25" s="956"/>
      <c r="CQ25" s="956"/>
      <c r="CR25" s="956"/>
      <c r="CS25" s="956"/>
      <c r="CT25" s="956"/>
      <c r="CU25" s="956"/>
      <c r="CV25" s="956"/>
      <c r="CW25" s="956"/>
      <c r="CX25" s="961"/>
      <c r="CY25" s="961"/>
      <c r="CZ25" s="961"/>
      <c r="DA25" s="962"/>
      <c r="DB25" s="959"/>
    </row>
    <row r="26" spans="2:106" ht="11.25" customHeight="1">
      <c r="B26" s="960"/>
      <c r="C26" s="956"/>
      <c r="D26" s="956"/>
      <c r="E26" s="956"/>
      <c r="F26" s="956"/>
      <c r="G26" s="956"/>
      <c r="H26" s="956"/>
      <c r="I26" s="956"/>
      <c r="J26" s="956"/>
      <c r="K26" s="956"/>
      <c r="L26" s="956"/>
      <c r="M26" s="956"/>
      <c r="N26" s="956"/>
      <c r="O26" s="956"/>
      <c r="P26" s="956"/>
      <c r="Q26" s="956"/>
      <c r="R26" s="956"/>
      <c r="S26" s="956"/>
      <c r="T26" s="956"/>
      <c r="U26" s="956"/>
      <c r="V26" s="956"/>
      <c r="W26" s="956"/>
      <c r="X26" s="956"/>
      <c r="Y26" s="956"/>
      <c r="Z26" s="956"/>
      <c r="AA26" s="956"/>
      <c r="AB26" s="956"/>
      <c r="AC26" s="956"/>
      <c r="AD26" s="956"/>
      <c r="AE26" s="956"/>
      <c r="AF26" s="956"/>
      <c r="AG26" s="956"/>
      <c r="AH26" s="956"/>
      <c r="AI26" s="956"/>
      <c r="AJ26" s="956"/>
      <c r="AK26" s="956"/>
      <c r="AL26" s="956"/>
      <c r="AM26" s="956"/>
      <c r="AN26" s="956"/>
      <c r="AO26" s="956"/>
      <c r="AP26" s="956"/>
      <c r="AQ26" s="956"/>
      <c r="AR26" s="956"/>
      <c r="AS26" s="956"/>
      <c r="AT26" s="956"/>
      <c r="AU26" s="956"/>
      <c r="AV26" s="956"/>
      <c r="AW26" s="956"/>
      <c r="AX26" s="956"/>
      <c r="AY26" s="956"/>
      <c r="AZ26" s="956"/>
      <c r="BA26" s="956"/>
      <c r="BB26" s="956"/>
      <c r="BC26" s="956"/>
      <c r="BD26" s="956"/>
      <c r="BE26" s="956"/>
      <c r="BF26" s="956"/>
      <c r="BG26" s="956"/>
      <c r="BH26" s="956"/>
      <c r="BI26" s="956"/>
      <c r="BJ26" s="956"/>
      <c r="BK26" s="956"/>
      <c r="BL26" s="956"/>
      <c r="BM26" s="956"/>
      <c r="BN26" s="956"/>
      <c r="BO26" s="956"/>
      <c r="BP26" s="956"/>
      <c r="BQ26" s="956"/>
      <c r="BR26" s="956"/>
      <c r="BS26" s="956"/>
      <c r="BT26" s="956"/>
      <c r="BU26" s="956"/>
      <c r="BV26" s="956"/>
      <c r="BW26" s="956"/>
      <c r="BX26" s="956"/>
      <c r="BY26" s="956"/>
      <c r="BZ26" s="956"/>
      <c r="CA26" s="956"/>
      <c r="CB26" s="956"/>
      <c r="CC26" s="956"/>
      <c r="CD26" s="956"/>
      <c r="CE26" s="956"/>
      <c r="CF26" s="956"/>
      <c r="CG26" s="956"/>
      <c r="CH26" s="956"/>
      <c r="CI26" s="956"/>
      <c r="CJ26" s="956"/>
      <c r="CK26" s="956"/>
      <c r="CL26" s="956"/>
      <c r="CM26" s="956"/>
      <c r="CN26" s="956"/>
      <c r="CO26" s="956"/>
      <c r="CP26" s="956"/>
      <c r="CQ26" s="956"/>
      <c r="CR26" s="956"/>
      <c r="CS26" s="956"/>
      <c r="CT26" s="956"/>
      <c r="CU26" s="956"/>
      <c r="CV26" s="956"/>
      <c r="CW26" s="956"/>
      <c r="CX26" s="961"/>
      <c r="CY26" s="961"/>
      <c r="CZ26" s="961"/>
      <c r="DA26" s="962"/>
      <c r="DB26" s="959"/>
    </row>
    <row r="27" spans="2:106" ht="11.25" customHeight="1">
      <c r="B27" s="960"/>
      <c r="C27" s="956"/>
      <c r="D27" s="956"/>
      <c r="E27" s="956"/>
      <c r="F27" s="956"/>
      <c r="G27" s="956" t="s">
        <v>2653</v>
      </c>
      <c r="H27" s="956"/>
      <c r="I27" s="956"/>
      <c r="J27" s="956"/>
      <c r="K27" s="956"/>
      <c r="L27" s="956"/>
      <c r="M27" s="956"/>
      <c r="N27" s="956"/>
      <c r="O27" s="956" t="s">
        <v>2654</v>
      </c>
      <c r="P27" s="956"/>
      <c r="Q27" s="956"/>
      <c r="R27" s="956"/>
      <c r="S27" s="956"/>
      <c r="T27" s="956"/>
      <c r="U27" s="956"/>
      <c r="V27" s="956"/>
      <c r="W27" s="956"/>
      <c r="X27" s="956"/>
      <c r="Y27" s="956"/>
      <c r="Z27" s="956"/>
      <c r="AA27" s="956"/>
      <c r="AB27" s="956"/>
      <c r="AC27" s="956"/>
      <c r="AD27" s="956"/>
      <c r="AE27" s="956"/>
      <c r="AF27" s="956" t="str">
        <f>TEXT([9]자재단가!R14,"#,##0.#######")</f>
        <v>6,000.</v>
      </c>
      <c r="AG27" s="956"/>
      <c r="AH27" s="956"/>
      <c r="AI27" s="956"/>
      <c r="AJ27" s="956"/>
      <c r="AK27" s="956"/>
      <c r="AL27" s="956"/>
      <c r="AM27" s="956"/>
      <c r="AN27" s="956" t="s">
        <v>683</v>
      </c>
      <c r="AO27" s="956"/>
      <c r="AP27" s="956"/>
      <c r="AQ27" s="956" t="str">
        <f>TEXT(0.69,"#,##0.#######")</f>
        <v>0.69</v>
      </c>
      <c r="AR27" s="956"/>
      <c r="AS27" s="956"/>
      <c r="AT27" s="956"/>
      <c r="AU27" s="956" t="s">
        <v>1017</v>
      </c>
      <c r="AV27" s="956"/>
      <c r="AW27" s="956"/>
      <c r="AX27" s="956" t="s">
        <v>2607</v>
      </c>
      <c r="AY27" s="956"/>
      <c r="AZ27" s="956"/>
      <c r="BA27" s="956" t="str">
        <f>TEXT(14.28,"#,##0.#######")</f>
        <v>14.28</v>
      </c>
      <c r="BB27" s="956"/>
      <c r="BC27" s="956"/>
      <c r="BD27" s="956"/>
      <c r="BE27" s="956"/>
      <c r="BF27" s="956" t="s">
        <v>1016</v>
      </c>
      <c r="BG27" s="956"/>
      <c r="BH27" s="956"/>
      <c r="BI27" s="956" t="s">
        <v>1167</v>
      </c>
      <c r="BJ27" s="956"/>
      <c r="BK27" s="956" t="str">
        <f>TEXT(TRUNC(AF27*AQ27/BA27,1),"#,##0.#")</f>
        <v>289.9</v>
      </c>
      <c r="BL27" s="956"/>
      <c r="BM27" s="956"/>
      <c r="BN27" s="956"/>
      <c r="BO27" s="956"/>
      <c r="BP27" s="956"/>
      <c r="BQ27" s="956"/>
      <c r="BR27" s="956"/>
      <c r="BS27" s="956"/>
      <c r="BT27" s="956"/>
      <c r="BU27" s="956"/>
      <c r="BV27" s="956"/>
      <c r="BW27" s="956"/>
      <c r="BX27" s="956"/>
      <c r="BY27" s="956"/>
      <c r="BZ27" s="956"/>
      <c r="CA27" s="956"/>
      <c r="CB27" s="956"/>
      <c r="CC27" s="956"/>
      <c r="CD27" s="956"/>
      <c r="CE27" s="956"/>
      <c r="CF27" s="956"/>
      <c r="CG27" s="956"/>
      <c r="CH27" s="956"/>
      <c r="CI27" s="956"/>
      <c r="CJ27" s="956"/>
      <c r="CK27" s="956"/>
      <c r="CL27" s="956"/>
      <c r="CM27" s="956"/>
      <c r="CN27" s="956"/>
      <c r="CO27" s="956"/>
      <c r="CP27" s="956"/>
      <c r="CQ27" s="956"/>
      <c r="CR27" s="956"/>
      <c r="CS27" s="956"/>
      <c r="CT27" s="956"/>
      <c r="CU27" s="956"/>
      <c r="CV27" s="956"/>
      <c r="CW27" s="956"/>
      <c r="CX27" s="961">
        <f>CY27+CZ27+DA27</f>
        <v>289.89999999999998</v>
      </c>
      <c r="CY27" s="961"/>
      <c r="CZ27" s="961" t="str">
        <f>BK27</f>
        <v>289.9</v>
      </c>
      <c r="DA27" s="962"/>
      <c r="DB27" s="959"/>
    </row>
    <row r="28" spans="2:106" ht="11.25" customHeight="1">
      <c r="B28" s="960"/>
      <c r="C28" s="956"/>
      <c r="D28" s="956"/>
      <c r="E28" s="956"/>
      <c r="F28" s="956"/>
      <c r="G28" s="956"/>
      <c r="H28" s="956"/>
      <c r="I28" s="956"/>
      <c r="J28" s="956"/>
      <c r="K28" s="956"/>
      <c r="L28" s="956"/>
      <c r="M28" s="956"/>
      <c r="N28" s="956"/>
      <c r="O28" s="956"/>
      <c r="P28" s="956"/>
      <c r="Q28" s="956"/>
      <c r="R28" s="956"/>
      <c r="S28" s="956"/>
      <c r="T28" s="956"/>
      <c r="U28" s="956"/>
      <c r="V28" s="956"/>
      <c r="W28" s="956"/>
      <c r="X28" s="956"/>
      <c r="Y28" s="956"/>
      <c r="Z28" s="956"/>
      <c r="AA28" s="956"/>
      <c r="AB28" s="956"/>
      <c r="AC28" s="956"/>
      <c r="AD28" s="956"/>
      <c r="AE28" s="956"/>
      <c r="AF28" s="956"/>
      <c r="AG28" s="956"/>
      <c r="AH28" s="956"/>
      <c r="AI28" s="956"/>
      <c r="AJ28" s="956"/>
      <c r="AK28" s="956"/>
      <c r="AL28" s="956"/>
      <c r="AM28" s="956"/>
      <c r="AN28" s="956"/>
      <c r="AO28" s="956"/>
      <c r="AP28" s="956"/>
      <c r="AQ28" s="956"/>
      <c r="AR28" s="956"/>
      <c r="AS28" s="956"/>
      <c r="AT28" s="956"/>
      <c r="AU28" s="956"/>
      <c r="AV28" s="956"/>
      <c r="AW28" s="956"/>
      <c r="AX28" s="956"/>
      <c r="AY28" s="956"/>
      <c r="AZ28" s="956"/>
      <c r="BA28" s="956"/>
      <c r="BB28" s="956"/>
      <c r="BC28" s="956"/>
      <c r="BD28" s="956"/>
      <c r="BE28" s="956"/>
      <c r="BF28" s="956"/>
      <c r="BG28" s="956"/>
      <c r="BH28" s="956"/>
      <c r="BI28" s="956"/>
      <c r="BJ28" s="956"/>
      <c r="BK28" s="956"/>
      <c r="BL28" s="956"/>
      <c r="BM28" s="956"/>
      <c r="BN28" s="956"/>
      <c r="BO28" s="956"/>
      <c r="BP28" s="956"/>
      <c r="BQ28" s="956"/>
      <c r="BR28" s="956"/>
      <c r="BS28" s="956"/>
      <c r="BT28" s="956"/>
      <c r="BU28" s="956"/>
      <c r="BV28" s="956"/>
      <c r="BW28" s="956"/>
      <c r="BX28" s="956"/>
      <c r="BY28" s="956"/>
      <c r="BZ28" s="956"/>
      <c r="CA28" s="956"/>
      <c r="CB28" s="956"/>
      <c r="CC28" s="956"/>
      <c r="CD28" s="956"/>
      <c r="CE28" s="956"/>
      <c r="CF28" s="956"/>
      <c r="CG28" s="956"/>
      <c r="CH28" s="956"/>
      <c r="CI28" s="956"/>
      <c r="CJ28" s="956"/>
      <c r="CK28" s="956"/>
      <c r="CL28" s="956"/>
      <c r="CM28" s="956"/>
      <c r="CN28" s="956"/>
      <c r="CO28" s="956"/>
      <c r="CP28" s="956"/>
      <c r="CQ28" s="956"/>
      <c r="CR28" s="956"/>
      <c r="CS28" s="956"/>
      <c r="CT28" s="956"/>
      <c r="CU28" s="956"/>
      <c r="CV28" s="956"/>
      <c r="CW28" s="956"/>
      <c r="CX28" s="961"/>
      <c r="CY28" s="961"/>
      <c r="CZ28" s="961"/>
      <c r="DA28" s="962"/>
      <c r="DB28" s="959"/>
    </row>
    <row r="29" spans="2:106" ht="11.25" customHeight="1">
      <c r="B29" s="960"/>
      <c r="C29" s="956"/>
      <c r="D29" s="956" t="s">
        <v>2612</v>
      </c>
      <c r="E29" s="956"/>
      <c r="F29" s="956"/>
      <c r="G29" s="956" t="s">
        <v>2627</v>
      </c>
      <c r="H29" s="956"/>
      <c r="I29" s="956"/>
      <c r="J29" s="956"/>
      <c r="K29" s="956"/>
      <c r="L29" s="956"/>
      <c r="M29" s="956"/>
      <c r="N29" s="956"/>
      <c r="O29" s="956"/>
      <c r="P29" s="956"/>
      <c r="Q29" s="956"/>
      <c r="R29" s="956"/>
      <c r="S29" s="956"/>
      <c r="T29" s="956"/>
      <c r="U29" s="956"/>
      <c r="V29" s="956"/>
      <c r="W29" s="956"/>
      <c r="X29" s="956"/>
      <c r="Y29" s="956"/>
      <c r="Z29" s="956"/>
      <c r="AA29" s="956"/>
      <c r="AB29" s="956"/>
      <c r="AC29" s="956"/>
      <c r="AD29" s="956"/>
      <c r="AE29" s="956"/>
      <c r="AF29" s="956"/>
      <c r="AG29" s="956"/>
      <c r="AH29" s="956"/>
      <c r="AI29" s="956"/>
      <c r="AJ29" s="956"/>
      <c r="AK29" s="956"/>
      <c r="AL29" s="956"/>
      <c r="AM29" s="956"/>
      <c r="AN29" s="956"/>
      <c r="AO29" s="956"/>
      <c r="AP29" s="956"/>
      <c r="AQ29" s="956"/>
      <c r="AR29" s="956"/>
      <c r="AS29" s="956"/>
      <c r="AT29" s="956"/>
      <c r="AU29" s="956"/>
      <c r="AV29" s="956"/>
      <c r="AW29" s="956"/>
      <c r="AX29" s="956"/>
      <c r="AY29" s="956"/>
      <c r="AZ29" s="956"/>
      <c r="BA29" s="956"/>
      <c r="BB29" s="956"/>
      <c r="BC29" s="956"/>
      <c r="BD29" s="956"/>
      <c r="BE29" s="956"/>
      <c r="BF29" s="956"/>
      <c r="BG29" s="956"/>
      <c r="BH29" s="956"/>
      <c r="BI29" s="956"/>
      <c r="BJ29" s="956"/>
      <c r="BK29" s="956"/>
      <c r="BL29" s="956"/>
      <c r="BM29" s="956"/>
      <c r="BN29" s="956"/>
      <c r="BO29" s="956"/>
      <c r="BP29" s="956"/>
      <c r="BQ29" s="956"/>
      <c r="BR29" s="956"/>
      <c r="BS29" s="956"/>
      <c r="BT29" s="956"/>
      <c r="BU29" s="956"/>
      <c r="BV29" s="956"/>
      <c r="BW29" s="956"/>
      <c r="BX29" s="956"/>
      <c r="BY29" s="956"/>
      <c r="BZ29" s="956"/>
      <c r="CA29" s="956"/>
      <c r="CB29" s="956"/>
      <c r="CC29" s="956"/>
      <c r="CD29" s="956"/>
      <c r="CE29" s="956"/>
      <c r="CF29" s="956"/>
      <c r="CG29" s="956"/>
      <c r="CH29" s="956"/>
      <c r="CI29" s="956"/>
      <c r="CJ29" s="956"/>
      <c r="CK29" s="956"/>
      <c r="CL29" s="956"/>
      <c r="CM29" s="956"/>
      <c r="CN29" s="956"/>
      <c r="CO29" s="956"/>
      <c r="CP29" s="956"/>
      <c r="CQ29" s="956"/>
      <c r="CR29" s="956"/>
      <c r="CS29" s="956"/>
      <c r="CT29" s="956"/>
      <c r="CU29" s="956"/>
      <c r="CV29" s="956"/>
      <c r="CW29" s="956"/>
      <c r="CX29" s="961"/>
      <c r="CY29" s="961"/>
      <c r="CZ29" s="961"/>
      <c r="DA29" s="962"/>
      <c r="DB29" s="959"/>
    </row>
    <row r="30" spans="2:106" ht="11.25" customHeight="1">
      <c r="B30" s="960"/>
      <c r="C30" s="956"/>
      <c r="D30" s="956"/>
      <c r="E30" s="956"/>
      <c r="F30" s="956"/>
      <c r="G30" s="956"/>
      <c r="H30" s="956"/>
      <c r="I30" s="956"/>
      <c r="J30" s="956"/>
      <c r="K30" s="956"/>
      <c r="L30" s="956"/>
      <c r="M30" s="956"/>
      <c r="N30" s="956"/>
      <c r="O30" s="956"/>
      <c r="P30" s="956"/>
      <c r="Q30" s="956"/>
      <c r="R30" s="956"/>
      <c r="S30" s="956"/>
      <c r="T30" s="956"/>
      <c r="U30" s="956"/>
      <c r="V30" s="956"/>
      <c r="W30" s="956"/>
      <c r="X30" s="956"/>
      <c r="Y30" s="956"/>
      <c r="Z30" s="956"/>
      <c r="AA30" s="956"/>
      <c r="AB30" s="956"/>
      <c r="AC30" s="956"/>
      <c r="AD30" s="956"/>
      <c r="AE30" s="956"/>
      <c r="AF30" s="956"/>
      <c r="AG30" s="956"/>
      <c r="AH30" s="956"/>
      <c r="AI30" s="956"/>
      <c r="AJ30" s="956"/>
      <c r="AK30" s="956"/>
      <c r="AL30" s="956"/>
      <c r="AM30" s="956"/>
      <c r="AN30" s="956"/>
      <c r="AO30" s="956"/>
      <c r="AP30" s="956"/>
      <c r="AQ30" s="956"/>
      <c r="AR30" s="956"/>
      <c r="AS30" s="956"/>
      <c r="AT30" s="956"/>
      <c r="AU30" s="956"/>
      <c r="AV30" s="956"/>
      <c r="AW30" s="956"/>
      <c r="AX30" s="956"/>
      <c r="AY30" s="956"/>
      <c r="AZ30" s="956"/>
      <c r="BA30" s="956"/>
      <c r="BB30" s="956"/>
      <c r="BC30" s="956"/>
      <c r="BD30" s="956"/>
      <c r="BE30" s="956"/>
      <c r="BF30" s="956"/>
      <c r="BG30" s="956"/>
      <c r="BH30" s="956"/>
      <c r="BI30" s="956"/>
      <c r="BJ30" s="956"/>
      <c r="BK30" s="956"/>
      <c r="BL30" s="956"/>
      <c r="BM30" s="956"/>
      <c r="BN30" s="956"/>
      <c r="BO30" s="956"/>
      <c r="BP30" s="956"/>
      <c r="BQ30" s="956"/>
      <c r="BR30" s="956"/>
      <c r="BS30" s="956"/>
      <c r="BT30" s="956"/>
      <c r="BU30" s="956"/>
      <c r="BV30" s="956"/>
      <c r="BW30" s="956"/>
      <c r="BX30" s="956"/>
      <c r="BY30" s="956"/>
      <c r="BZ30" s="956"/>
      <c r="CA30" s="956"/>
      <c r="CB30" s="956"/>
      <c r="CC30" s="956"/>
      <c r="CD30" s="956"/>
      <c r="CE30" s="956"/>
      <c r="CF30" s="956"/>
      <c r="CG30" s="956"/>
      <c r="CH30" s="956"/>
      <c r="CI30" s="956"/>
      <c r="CJ30" s="956"/>
      <c r="CK30" s="956"/>
      <c r="CL30" s="956"/>
      <c r="CM30" s="956"/>
      <c r="CN30" s="956"/>
      <c r="CO30" s="956"/>
      <c r="CP30" s="956"/>
      <c r="CQ30" s="956"/>
      <c r="CR30" s="956"/>
      <c r="CS30" s="956"/>
      <c r="CT30" s="956"/>
      <c r="CU30" s="956"/>
      <c r="CV30" s="956"/>
      <c r="CW30" s="956"/>
      <c r="CX30" s="961"/>
      <c r="CY30" s="961"/>
      <c r="CZ30" s="961"/>
      <c r="DA30" s="962"/>
      <c r="DB30" s="959"/>
    </row>
    <row r="31" spans="2:106" ht="11.25" customHeight="1">
      <c r="B31" s="960"/>
      <c r="C31" s="956"/>
      <c r="D31" s="956"/>
      <c r="E31" s="956" t="s">
        <v>1312</v>
      </c>
      <c r="F31" s="956"/>
      <c r="G31" s="956" t="s">
        <v>2620</v>
      </c>
      <c r="H31" s="956"/>
      <c r="I31" s="956" t="s">
        <v>2655</v>
      </c>
      <c r="J31" s="956"/>
      <c r="K31" s="956"/>
      <c r="L31" s="956"/>
      <c r="M31" s="956"/>
      <c r="N31" s="956"/>
      <c r="O31" s="956"/>
      <c r="P31" s="956"/>
      <c r="Q31" s="956"/>
      <c r="R31" s="956"/>
      <c r="S31" s="956"/>
      <c r="T31" s="956"/>
      <c r="U31" s="956"/>
      <c r="V31" s="956" t="s">
        <v>2656</v>
      </c>
      <c r="W31" s="956"/>
      <c r="X31" s="956"/>
      <c r="Y31" s="956"/>
      <c r="Z31" s="956"/>
      <c r="AA31" s="956"/>
      <c r="AB31" s="956"/>
      <c r="AC31" s="956"/>
      <c r="AD31" s="956"/>
      <c r="AE31" s="956"/>
      <c r="AF31" s="956"/>
      <c r="AG31" s="956"/>
      <c r="AH31" s="956"/>
      <c r="AI31" s="956"/>
      <c r="AJ31" s="956"/>
      <c r="AK31" s="956"/>
      <c r="AL31" s="956"/>
      <c r="AM31" s="956"/>
      <c r="AN31" s="956"/>
      <c r="AO31" s="956"/>
      <c r="AP31" s="956"/>
      <c r="AQ31" s="956"/>
      <c r="AR31" s="956"/>
      <c r="AS31" s="956"/>
      <c r="AT31" s="956"/>
      <c r="AU31" s="956"/>
      <c r="AV31" s="956"/>
      <c r="AW31" s="956"/>
      <c r="AX31" s="956"/>
      <c r="AY31" s="956"/>
      <c r="AZ31" s="956"/>
      <c r="BA31" s="956"/>
      <c r="BB31" s="956"/>
      <c r="BC31" s="956"/>
      <c r="BD31" s="956"/>
      <c r="BE31" s="956"/>
      <c r="BF31" s="956"/>
      <c r="BG31" s="956"/>
      <c r="BH31" s="956"/>
      <c r="BI31" s="956"/>
      <c r="BJ31" s="956"/>
      <c r="BK31" s="956"/>
      <c r="BL31" s="956"/>
      <c r="BM31" s="956"/>
      <c r="BN31" s="956"/>
      <c r="BO31" s="956"/>
      <c r="BP31" s="956"/>
      <c r="BQ31" s="956"/>
      <c r="BR31" s="956"/>
      <c r="BS31" s="956"/>
      <c r="BT31" s="956"/>
      <c r="BU31" s="956"/>
      <c r="BV31" s="956"/>
      <c r="BW31" s="956"/>
      <c r="BX31" s="956"/>
      <c r="BY31" s="956"/>
      <c r="BZ31" s="956"/>
      <c r="CA31" s="956"/>
      <c r="CB31" s="956"/>
      <c r="CC31" s="956"/>
      <c r="CD31" s="956"/>
      <c r="CE31" s="956"/>
      <c r="CF31" s="956"/>
      <c r="CG31" s="956"/>
      <c r="CH31" s="956"/>
      <c r="CI31" s="956"/>
      <c r="CJ31" s="956"/>
      <c r="CK31" s="956"/>
      <c r="CL31" s="956"/>
      <c r="CM31" s="956"/>
      <c r="CN31" s="956"/>
      <c r="CO31" s="956"/>
      <c r="CP31" s="956"/>
      <c r="CQ31" s="956"/>
      <c r="CR31" s="956"/>
      <c r="CS31" s="956"/>
      <c r="CT31" s="956"/>
      <c r="CU31" s="956"/>
      <c r="CV31" s="956"/>
      <c r="CW31" s="956"/>
      <c r="CX31" s="961"/>
      <c r="CY31" s="961"/>
      <c r="CZ31" s="961"/>
      <c r="DA31" s="962"/>
      <c r="DB31" s="959"/>
    </row>
    <row r="32" spans="2:106" ht="11.25" customHeight="1">
      <c r="B32" s="960"/>
      <c r="C32" s="956"/>
      <c r="D32" s="956"/>
      <c r="E32" s="956"/>
      <c r="F32" s="956"/>
      <c r="G32" s="956"/>
      <c r="H32" s="956"/>
      <c r="I32" s="956"/>
      <c r="J32" s="956"/>
      <c r="K32" s="956"/>
      <c r="L32" s="956"/>
      <c r="M32" s="956"/>
      <c r="N32" s="956"/>
      <c r="O32" s="956"/>
      <c r="P32" s="956"/>
      <c r="Q32" s="956"/>
      <c r="R32" s="956"/>
      <c r="S32" s="956"/>
      <c r="T32" s="956"/>
      <c r="U32" s="956"/>
      <c r="V32" s="956"/>
      <c r="W32" s="956"/>
      <c r="X32" s="956"/>
      <c r="Y32" s="956"/>
      <c r="Z32" s="956"/>
      <c r="AA32" s="956"/>
      <c r="AB32" s="956"/>
      <c r="AC32" s="956"/>
      <c r="AD32" s="956"/>
      <c r="AE32" s="956"/>
      <c r="AF32" s="956"/>
      <c r="AG32" s="956"/>
      <c r="AH32" s="956"/>
      <c r="AI32" s="956"/>
      <c r="AJ32" s="956"/>
      <c r="AK32" s="956"/>
      <c r="AL32" s="956"/>
      <c r="AM32" s="956"/>
      <c r="AN32" s="956"/>
      <c r="AO32" s="956"/>
      <c r="AP32" s="956"/>
      <c r="AQ32" s="956"/>
      <c r="AR32" s="956"/>
      <c r="AS32" s="956"/>
      <c r="AT32" s="956"/>
      <c r="AU32" s="956"/>
      <c r="AV32" s="956"/>
      <c r="AW32" s="956"/>
      <c r="AX32" s="956"/>
      <c r="AY32" s="956"/>
      <c r="AZ32" s="956"/>
      <c r="BA32" s="956"/>
      <c r="BB32" s="956"/>
      <c r="BC32" s="956"/>
      <c r="BD32" s="956"/>
      <c r="BE32" s="956"/>
      <c r="BF32" s="956"/>
      <c r="BG32" s="956"/>
      <c r="BH32" s="956"/>
      <c r="BI32" s="956"/>
      <c r="BJ32" s="956"/>
      <c r="BK32" s="956"/>
      <c r="BL32" s="956"/>
      <c r="BM32" s="956"/>
      <c r="BN32" s="956"/>
      <c r="BO32" s="956"/>
      <c r="BP32" s="956"/>
      <c r="BQ32" s="956"/>
      <c r="BR32" s="956"/>
      <c r="BS32" s="956"/>
      <c r="BT32" s="956"/>
      <c r="BU32" s="956"/>
      <c r="BV32" s="956"/>
      <c r="BW32" s="956"/>
      <c r="BX32" s="956"/>
      <c r="BY32" s="956"/>
      <c r="BZ32" s="956"/>
      <c r="CA32" s="956"/>
      <c r="CB32" s="956"/>
      <c r="CC32" s="956"/>
      <c r="CD32" s="956"/>
      <c r="CE32" s="956"/>
      <c r="CF32" s="956"/>
      <c r="CG32" s="956"/>
      <c r="CH32" s="956"/>
      <c r="CI32" s="956"/>
      <c r="CJ32" s="956"/>
      <c r="CK32" s="956"/>
      <c r="CL32" s="956"/>
      <c r="CM32" s="956"/>
      <c r="CN32" s="956"/>
      <c r="CO32" s="956"/>
      <c r="CP32" s="956"/>
      <c r="CQ32" s="956"/>
      <c r="CR32" s="956"/>
      <c r="CS32" s="956"/>
      <c r="CT32" s="956"/>
      <c r="CU32" s="956"/>
      <c r="CV32" s="956"/>
      <c r="CW32" s="956"/>
      <c r="CX32" s="961"/>
      <c r="CY32" s="961"/>
      <c r="CZ32" s="961"/>
      <c r="DA32" s="962"/>
      <c r="DB32" s="959"/>
    </row>
    <row r="33" spans="2:106" ht="11.25" customHeight="1">
      <c r="B33" s="960"/>
      <c r="C33" s="956"/>
      <c r="D33" s="956"/>
      <c r="E33" s="956"/>
      <c r="F33" s="956"/>
      <c r="G33" s="956" t="s">
        <v>1168</v>
      </c>
      <c r="H33" s="956"/>
      <c r="I33" s="956"/>
      <c r="J33" s="956"/>
      <c r="K33" s="956"/>
      <c r="L33" s="956"/>
      <c r="M33" s="956"/>
      <c r="N33" s="956" t="s">
        <v>2606</v>
      </c>
      <c r="O33" s="956"/>
      <c r="P33" s="956"/>
      <c r="Q33" s="956" t="str">
        <f>TEXT([9]기계경비총괄표!G15,"#,##0")</f>
        <v>57,077</v>
      </c>
      <c r="R33" s="956"/>
      <c r="S33" s="956"/>
      <c r="T33" s="956"/>
      <c r="U33" s="956"/>
      <c r="V33" s="956"/>
      <c r="W33" s="956"/>
      <c r="X33" s="956"/>
      <c r="Y33" s="956"/>
      <c r="Z33" s="956" t="s">
        <v>2607</v>
      </c>
      <c r="AA33" s="956"/>
      <c r="AB33" s="956"/>
      <c r="AC33" s="956" t="str">
        <f>TEXT(BB13,"#,##0.#######")</f>
        <v>225.</v>
      </c>
      <c r="AD33" s="956"/>
      <c r="AE33" s="956"/>
      <c r="AF33" s="956"/>
      <c r="AG33" s="956"/>
      <c r="AH33" s="956"/>
      <c r="AI33" s="956" t="s">
        <v>1167</v>
      </c>
      <c r="AJ33" s="956"/>
      <c r="AK33" s="956"/>
      <c r="AL33" s="956" t="str">
        <f>TEXT(TRUNC(Q33/BB13,1),"#,##0.#")</f>
        <v>253.6</v>
      </c>
      <c r="AM33" s="956"/>
      <c r="AN33" s="956"/>
      <c r="AO33" s="956"/>
      <c r="AP33" s="956"/>
      <c r="AQ33" s="956"/>
      <c r="AR33" s="956"/>
      <c r="AS33" s="956"/>
      <c r="AT33" s="956"/>
      <c r="AU33" s="956"/>
      <c r="AV33" s="956"/>
      <c r="AW33" s="956"/>
      <c r="AX33" s="956"/>
      <c r="AY33" s="956"/>
      <c r="AZ33" s="956"/>
      <c r="BA33" s="956"/>
      <c r="BB33" s="956"/>
      <c r="BC33" s="956"/>
      <c r="BD33" s="956"/>
      <c r="BE33" s="956"/>
      <c r="BF33" s="956"/>
      <c r="BG33" s="956"/>
      <c r="BH33" s="956"/>
      <c r="BI33" s="956"/>
      <c r="BJ33" s="956"/>
      <c r="BK33" s="956"/>
      <c r="BL33" s="956"/>
      <c r="BM33" s="956"/>
      <c r="BN33" s="956"/>
      <c r="BO33" s="956"/>
      <c r="BP33" s="956"/>
      <c r="BQ33" s="956"/>
      <c r="BR33" s="956"/>
      <c r="BS33" s="956"/>
      <c r="BT33" s="956"/>
      <c r="BU33" s="956"/>
      <c r="BV33" s="956"/>
      <c r="BW33" s="956"/>
      <c r="BX33" s="956"/>
      <c r="BY33" s="956"/>
      <c r="BZ33" s="956"/>
      <c r="CA33" s="956"/>
      <c r="CB33" s="956"/>
      <c r="CC33" s="956"/>
      <c r="CD33" s="956"/>
      <c r="CE33" s="956"/>
      <c r="CF33" s="956"/>
      <c r="CG33" s="956"/>
      <c r="CH33" s="956"/>
      <c r="CI33" s="956"/>
      <c r="CJ33" s="956"/>
      <c r="CK33" s="956"/>
      <c r="CL33" s="956"/>
      <c r="CM33" s="956"/>
      <c r="CN33" s="956"/>
      <c r="CO33" s="956"/>
      <c r="CP33" s="956"/>
      <c r="CQ33" s="956"/>
      <c r="CR33" s="956"/>
      <c r="CS33" s="956"/>
      <c r="CT33" s="956"/>
      <c r="CU33" s="956"/>
      <c r="CV33" s="956"/>
      <c r="CW33" s="956"/>
      <c r="CX33" s="961"/>
      <c r="CY33" s="961"/>
      <c r="CZ33" s="961"/>
      <c r="DA33" s="962"/>
      <c r="DB33" s="959"/>
    </row>
    <row r="34" spans="2:106" ht="11.25" customHeight="1">
      <c r="B34" s="960"/>
      <c r="C34" s="956"/>
      <c r="D34" s="956"/>
      <c r="E34" s="956"/>
      <c r="F34" s="956"/>
      <c r="G34" s="956" t="s">
        <v>1169</v>
      </c>
      <c r="H34" s="956"/>
      <c r="I34" s="956"/>
      <c r="J34" s="956"/>
      <c r="K34" s="956"/>
      <c r="L34" s="956"/>
      <c r="M34" s="956"/>
      <c r="N34" s="956" t="s">
        <v>2606</v>
      </c>
      <c r="O34" s="956"/>
      <c r="P34" s="956"/>
      <c r="Q34" s="956" t="str">
        <f>TEXT([9]기계경비총괄표!H15,"#,##0")</f>
        <v>77,087</v>
      </c>
      <c r="R34" s="956"/>
      <c r="S34" s="956"/>
      <c r="T34" s="956"/>
      <c r="U34" s="956"/>
      <c r="V34" s="956"/>
      <c r="W34" s="956"/>
      <c r="X34" s="956"/>
      <c r="Y34" s="956"/>
      <c r="Z34" s="956" t="s">
        <v>2607</v>
      </c>
      <c r="AA34" s="956"/>
      <c r="AB34" s="956"/>
      <c r="AC34" s="956" t="str">
        <f>TEXT(BB13,"#,##0.#######")</f>
        <v>225.</v>
      </c>
      <c r="AD34" s="956"/>
      <c r="AE34" s="956"/>
      <c r="AF34" s="956"/>
      <c r="AG34" s="956"/>
      <c r="AH34" s="956"/>
      <c r="AI34" s="956" t="s">
        <v>1167</v>
      </c>
      <c r="AJ34" s="956"/>
      <c r="AK34" s="956"/>
      <c r="AL34" s="956" t="str">
        <f>TEXT(TRUNC(Q34/BB13,1),"#,##0.#")</f>
        <v>342.6</v>
      </c>
      <c r="AM34" s="956"/>
      <c r="AN34" s="956"/>
      <c r="AO34" s="956"/>
      <c r="AP34" s="956"/>
      <c r="AQ34" s="956"/>
      <c r="AR34" s="956"/>
      <c r="AS34" s="956"/>
      <c r="AT34" s="956"/>
      <c r="AU34" s="956"/>
      <c r="AV34" s="956"/>
      <c r="AW34" s="956"/>
      <c r="AX34" s="956"/>
      <c r="AY34" s="956"/>
      <c r="AZ34" s="956"/>
      <c r="BA34" s="956"/>
      <c r="BB34" s="956"/>
      <c r="BC34" s="956"/>
      <c r="BD34" s="956"/>
      <c r="BE34" s="956"/>
      <c r="BF34" s="956"/>
      <c r="BG34" s="956"/>
      <c r="BH34" s="956"/>
      <c r="BI34" s="956"/>
      <c r="BJ34" s="956"/>
      <c r="BK34" s="956"/>
      <c r="BL34" s="956"/>
      <c r="BM34" s="956"/>
      <c r="BN34" s="956"/>
      <c r="BO34" s="956"/>
      <c r="BP34" s="956"/>
      <c r="BQ34" s="956"/>
      <c r="BR34" s="956"/>
      <c r="BS34" s="956"/>
      <c r="BT34" s="956"/>
      <c r="BU34" s="956"/>
      <c r="BV34" s="956"/>
      <c r="BW34" s="956"/>
      <c r="BX34" s="956"/>
      <c r="BY34" s="956"/>
      <c r="BZ34" s="956"/>
      <c r="CA34" s="956"/>
      <c r="CB34" s="956"/>
      <c r="CC34" s="956"/>
      <c r="CD34" s="956"/>
      <c r="CE34" s="956"/>
      <c r="CF34" s="956"/>
      <c r="CG34" s="956"/>
      <c r="CH34" s="956"/>
      <c r="CI34" s="956"/>
      <c r="CJ34" s="956"/>
      <c r="CK34" s="956"/>
      <c r="CL34" s="956"/>
      <c r="CM34" s="956"/>
      <c r="CN34" s="956"/>
      <c r="CO34" s="956"/>
      <c r="CP34" s="956"/>
      <c r="CQ34" s="956"/>
      <c r="CR34" s="956"/>
      <c r="CS34" s="956"/>
      <c r="CT34" s="956"/>
      <c r="CU34" s="956"/>
      <c r="CV34" s="956"/>
      <c r="CW34" s="956"/>
      <c r="CX34" s="961"/>
      <c r="CY34" s="961"/>
      <c r="CZ34" s="961"/>
      <c r="DA34" s="962"/>
      <c r="DB34" s="959"/>
    </row>
    <row r="35" spans="2:106" ht="11.25" customHeight="1">
      <c r="B35" s="960"/>
      <c r="C35" s="956"/>
      <c r="D35" s="956"/>
      <c r="E35" s="956"/>
      <c r="F35" s="956"/>
      <c r="G35" s="956" t="s">
        <v>2608</v>
      </c>
      <c r="H35" s="956"/>
      <c r="I35" s="956"/>
      <c r="J35" s="956"/>
      <c r="K35" s="956" t="s">
        <v>2609</v>
      </c>
      <c r="L35" s="956"/>
      <c r="M35" s="956"/>
      <c r="N35" s="956" t="s">
        <v>2606</v>
      </c>
      <c r="O35" s="956"/>
      <c r="P35" s="956" t="str">
        <f>TEXT([9]기계경비총괄표!I15,"#,##0")</f>
        <v>170,620</v>
      </c>
      <c r="Q35" s="956"/>
      <c r="R35" s="956"/>
      <c r="S35" s="956"/>
      <c r="T35" s="956"/>
      <c r="U35" s="956"/>
      <c r="V35" s="956"/>
      <c r="W35" s="956"/>
      <c r="X35" s="956"/>
      <c r="Y35" s="956"/>
      <c r="Z35" s="956" t="s">
        <v>2607</v>
      </c>
      <c r="AA35" s="956"/>
      <c r="AB35" s="956"/>
      <c r="AC35" s="956" t="str">
        <f>TEXT(BB13,"#,##0.#######")</f>
        <v>225.</v>
      </c>
      <c r="AD35" s="956"/>
      <c r="AE35" s="956"/>
      <c r="AF35" s="956"/>
      <c r="AG35" s="956"/>
      <c r="AH35" s="956"/>
      <c r="AI35" s="956" t="s">
        <v>1167</v>
      </c>
      <c r="AJ35" s="956"/>
      <c r="AK35" s="956"/>
      <c r="AL35" s="956" t="str">
        <f>TEXT(TRUNC(P35/BB13,1),"#,##0.#")</f>
        <v>758.3</v>
      </c>
      <c r="AM35" s="956"/>
      <c r="AN35" s="956"/>
      <c r="AO35" s="956"/>
      <c r="AP35" s="956"/>
      <c r="AQ35" s="956"/>
      <c r="AR35" s="956"/>
      <c r="AS35" s="956"/>
      <c r="AT35" s="956"/>
      <c r="AU35" s="956"/>
      <c r="AV35" s="956"/>
      <c r="AW35" s="956"/>
      <c r="AX35" s="956"/>
      <c r="AY35" s="956"/>
      <c r="AZ35" s="956"/>
      <c r="BA35" s="956"/>
      <c r="BB35" s="956"/>
      <c r="BC35" s="956"/>
      <c r="BD35" s="956"/>
      <c r="BE35" s="956"/>
      <c r="BF35" s="956"/>
      <c r="BG35" s="956"/>
      <c r="BH35" s="956"/>
      <c r="BI35" s="956"/>
      <c r="BJ35" s="956"/>
      <c r="BK35" s="956"/>
      <c r="BL35" s="956"/>
      <c r="BM35" s="956"/>
      <c r="BN35" s="956"/>
      <c r="BO35" s="956"/>
      <c r="BP35" s="956"/>
      <c r="BQ35" s="956"/>
      <c r="BR35" s="956"/>
      <c r="BS35" s="956"/>
      <c r="BT35" s="956"/>
      <c r="BU35" s="956"/>
      <c r="BV35" s="956"/>
      <c r="BW35" s="956"/>
      <c r="BX35" s="956"/>
      <c r="BY35" s="956"/>
      <c r="BZ35" s="956"/>
      <c r="CA35" s="956"/>
      <c r="CB35" s="956"/>
      <c r="CC35" s="956"/>
      <c r="CD35" s="956"/>
      <c r="CE35" s="956"/>
      <c r="CF35" s="956"/>
      <c r="CG35" s="956"/>
      <c r="CH35" s="956"/>
      <c r="CI35" s="956"/>
      <c r="CJ35" s="956"/>
      <c r="CK35" s="956"/>
      <c r="CL35" s="956"/>
      <c r="CM35" s="956"/>
      <c r="CN35" s="956"/>
      <c r="CO35" s="956"/>
      <c r="CP35" s="956"/>
      <c r="CQ35" s="956"/>
      <c r="CR35" s="956"/>
      <c r="CS35" s="956"/>
      <c r="CT35" s="956"/>
      <c r="CU35" s="956"/>
      <c r="CV35" s="956"/>
      <c r="CW35" s="956"/>
      <c r="CX35" s="961"/>
      <c r="CY35" s="961"/>
      <c r="CZ35" s="961"/>
      <c r="DA35" s="962"/>
      <c r="DB35" s="959"/>
    </row>
    <row r="36" spans="2:106" ht="11.25" customHeight="1">
      <c r="B36" s="960"/>
      <c r="C36" s="956"/>
      <c r="D36" s="956"/>
      <c r="E36" s="956"/>
      <c r="F36" s="956"/>
      <c r="G36" s="956" t="s">
        <v>2610</v>
      </c>
      <c r="H36" s="956"/>
      <c r="I36" s="956"/>
      <c r="J36" s="956"/>
      <c r="K36" s="956" t="s">
        <v>617</v>
      </c>
      <c r="L36" s="956"/>
      <c r="M36" s="956"/>
      <c r="N36" s="956" t="s">
        <v>2606</v>
      </c>
      <c r="O36" s="956"/>
      <c r="P36" s="956"/>
      <c r="Q36" s="956"/>
      <c r="R36" s="956"/>
      <c r="S36" s="956"/>
      <c r="T36" s="956"/>
      <c r="U36" s="956"/>
      <c r="V36" s="956"/>
      <c r="W36" s="956"/>
      <c r="X36" s="956"/>
      <c r="Y36" s="956"/>
      <c r="Z36" s="956"/>
      <c r="AA36" s="956"/>
      <c r="AB36" s="956"/>
      <c r="AC36" s="956"/>
      <c r="AD36" s="956"/>
      <c r="AE36" s="956"/>
      <c r="AF36" s="956" t="str">
        <f>TEXT(AL33+AL34+AL35,"#,##0.#######")</f>
        <v>1,354.5</v>
      </c>
      <c r="AG36" s="956"/>
      <c r="AH36" s="956"/>
      <c r="AI36" s="956"/>
      <c r="AJ36" s="956"/>
      <c r="AK36" s="956"/>
      <c r="AL36" s="956"/>
      <c r="AM36" s="956"/>
      <c r="AN36" s="956"/>
      <c r="AO36" s="956"/>
      <c r="AP36" s="956"/>
      <c r="AQ36" s="956"/>
      <c r="AR36" s="956"/>
      <c r="AS36" s="956"/>
      <c r="AT36" s="956"/>
      <c r="AU36" s="956"/>
      <c r="AV36" s="956"/>
      <c r="AW36" s="956"/>
      <c r="AX36" s="956"/>
      <c r="AY36" s="956"/>
      <c r="AZ36" s="956"/>
      <c r="BA36" s="956"/>
      <c r="BB36" s="956"/>
      <c r="BC36" s="956"/>
      <c r="BD36" s="956"/>
      <c r="BE36" s="956"/>
      <c r="BF36" s="956"/>
      <c r="BG36" s="956"/>
      <c r="BH36" s="956"/>
      <c r="BI36" s="956"/>
      <c r="BJ36" s="956"/>
      <c r="BK36" s="956"/>
      <c r="BL36" s="956"/>
      <c r="BM36" s="956"/>
      <c r="BN36" s="956"/>
      <c r="BO36" s="956"/>
      <c r="BP36" s="956"/>
      <c r="BQ36" s="956"/>
      <c r="BR36" s="956"/>
      <c r="BS36" s="956"/>
      <c r="BT36" s="956"/>
      <c r="BU36" s="956"/>
      <c r="BV36" s="956"/>
      <c r="BW36" s="956"/>
      <c r="BX36" s="956"/>
      <c r="BY36" s="956"/>
      <c r="BZ36" s="956"/>
      <c r="CA36" s="956"/>
      <c r="CB36" s="956"/>
      <c r="CC36" s="956"/>
      <c r="CD36" s="956"/>
      <c r="CE36" s="956"/>
      <c r="CF36" s="956"/>
      <c r="CG36" s="956"/>
      <c r="CH36" s="956"/>
      <c r="CI36" s="956"/>
      <c r="CJ36" s="956"/>
      <c r="CK36" s="956"/>
      <c r="CL36" s="956"/>
      <c r="CM36" s="956"/>
      <c r="CN36" s="956"/>
      <c r="CO36" s="956"/>
      <c r="CP36" s="956"/>
      <c r="CQ36" s="956"/>
      <c r="CR36" s="956"/>
      <c r="CS36" s="956"/>
      <c r="CT36" s="956"/>
      <c r="CU36" s="956"/>
      <c r="CV36" s="956"/>
      <c r="CW36" s="956"/>
      <c r="CX36" s="961">
        <f>CY36+CZ36+DA36</f>
        <v>1354.5</v>
      </c>
      <c r="CY36" s="961" t="str">
        <f>TEXT(AL33,"#,###.0")</f>
        <v>253.6</v>
      </c>
      <c r="CZ36" s="961" t="str">
        <f>TEXT(AL34,"#,###.0")</f>
        <v>342.6</v>
      </c>
      <c r="DA36" s="962" t="str">
        <f>TEXT(AL35,"#,###.0")</f>
        <v>758.3</v>
      </c>
      <c r="DB36" s="959"/>
    </row>
    <row r="37" spans="2:106" ht="11.25" customHeight="1">
      <c r="B37" s="960"/>
      <c r="C37" s="956"/>
      <c r="D37" s="956"/>
      <c r="E37" s="956"/>
      <c r="F37" s="956"/>
      <c r="G37" s="956"/>
      <c r="H37" s="956"/>
      <c r="I37" s="956"/>
      <c r="J37" s="956"/>
      <c r="K37" s="956"/>
      <c r="L37" s="956"/>
      <c r="M37" s="956"/>
      <c r="N37" s="956"/>
      <c r="O37" s="956"/>
      <c r="P37" s="956"/>
      <c r="Q37" s="956"/>
      <c r="R37" s="956"/>
      <c r="S37" s="956"/>
      <c r="T37" s="956"/>
      <c r="U37" s="956"/>
      <c r="V37" s="956"/>
      <c r="W37" s="956"/>
      <c r="X37" s="956"/>
      <c r="Y37" s="956"/>
      <c r="Z37" s="956"/>
      <c r="AA37" s="956"/>
      <c r="AB37" s="956"/>
      <c r="AC37" s="956"/>
      <c r="AD37" s="956"/>
      <c r="AE37" s="956"/>
      <c r="AF37" s="956"/>
      <c r="AG37" s="956"/>
      <c r="AH37" s="956"/>
      <c r="AI37" s="956"/>
      <c r="AJ37" s="956"/>
      <c r="AK37" s="956"/>
      <c r="AL37" s="956"/>
      <c r="AM37" s="956"/>
      <c r="AN37" s="956"/>
      <c r="AO37" s="956"/>
      <c r="AP37" s="956"/>
      <c r="AQ37" s="956"/>
      <c r="AR37" s="956"/>
      <c r="AS37" s="956"/>
      <c r="AT37" s="956"/>
      <c r="AU37" s="956"/>
      <c r="AV37" s="956"/>
      <c r="AW37" s="956"/>
      <c r="AX37" s="956"/>
      <c r="AY37" s="956"/>
      <c r="AZ37" s="956"/>
      <c r="BA37" s="956"/>
      <c r="BB37" s="956"/>
      <c r="BC37" s="956"/>
      <c r="BD37" s="956"/>
      <c r="BE37" s="956"/>
      <c r="BF37" s="956"/>
      <c r="BG37" s="956"/>
      <c r="BH37" s="956"/>
      <c r="BI37" s="956"/>
      <c r="BJ37" s="956"/>
      <c r="BK37" s="956"/>
      <c r="BL37" s="956"/>
      <c r="BM37" s="956"/>
      <c r="BN37" s="956"/>
      <c r="BO37" s="956"/>
      <c r="BP37" s="956"/>
      <c r="BQ37" s="956"/>
      <c r="BR37" s="956"/>
      <c r="BS37" s="956"/>
      <c r="BT37" s="956"/>
      <c r="BU37" s="956"/>
      <c r="BV37" s="956"/>
      <c r="BW37" s="956"/>
      <c r="BX37" s="956"/>
      <c r="BY37" s="956"/>
      <c r="BZ37" s="956"/>
      <c r="CA37" s="956"/>
      <c r="CB37" s="956"/>
      <c r="CC37" s="956"/>
      <c r="CD37" s="956"/>
      <c r="CE37" s="956"/>
      <c r="CF37" s="956"/>
      <c r="CG37" s="956"/>
      <c r="CH37" s="956"/>
      <c r="CI37" s="956"/>
      <c r="CJ37" s="956"/>
      <c r="CK37" s="956"/>
      <c r="CL37" s="956"/>
      <c r="CM37" s="956"/>
      <c r="CN37" s="956"/>
      <c r="CO37" s="956"/>
      <c r="CP37" s="956"/>
      <c r="CQ37" s="956"/>
      <c r="CR37" s="956"/>
      <c r="CS37" s="956"/>
      <c r="CT37" s="956"/>
      <c r="CU37" s="956"/>
      <c r="CV37" s="956"/>
      <c r="CW37" s="956"/>
      <c r="CX37" s="961"/>
      <c r="CY37" s="961"/>
      <c r="CZ37" s="961"/>
      <c r="DA37" s="962"/>
      <c r="DB37" s="959"/>
    </row>
    <row r="38" spans="2:106" ht="11.25" customHeight="1">
      <c r="B38" s="960"/>
      <c r="C38" s="956"/>
      <c r="D38" s="956"/>
      <c r="E38" s="956" t="s">
        <v>2622</v>
      </c>
      <c r="F38" s="956"/>
      <c r="G38" s="956" t="s">
        <v>2620</v>
      </c>
      <c r="H38" s="956"/>
      <c r="I38" s="956" t="s">
        <v>2657</v>
      </c>
      <c r="J38" s="956"/>
      <c r="K38" s="956"/>
      <c r="L38" s="956"/>
      <c r="M38" s="956"/>
      <c r="N38" s="956"/>
      <c r="O38" s="956"/>
      <c r="P38" s="956"/>
      <c r="Q38" s="956"/>
      <c r="R38" s="956"/>
      <c r="S38" s="956"/>
      <c r="T38" s="956"/>
      <c r="U38" s="956"/>
      <c r="V38" s="956"/>
      <c r="W38" s="956"/>
      <c r="X38" s="956"/>
      <c r="Y38" s="956"/>
      <c r="Z38" s="956"/>
      <c r="AA38" s="956"/>
      <c r="AB38" s="956"/>
      <c r="AC38" s="956"/>
      <c r="AD38" s="956"/>
      <c r="AE38" s="956"/>
      <c r="AF38" s="956"/>
      <c r="AG38" s="956"/>
      <c r="AH38" s="956"/>
      <c r="AI38" s="956"/>
      <c r="AJ38" s="956"/>
      <c r="AK38" s="956"/>
      <c r="AL38" s="956"/>
      <c r="AM38" s="956"/>
      <c r="AN38" s="956" t="s">
        <v>2658</v>
      </c>
      <c r="AO38" s="956"/>
      <c r="AP38" s="956"/>
      <c r="AQ38" s="956"/>
      <c r="AR38" s="956"/>
      <c r="AS38" s="956"/>
      <c r="AT38" s="956"/>
      <c r="AU38" s="956"/>
      <c r="AV38" s="956"/>
      <c r="AW38" s="956"/>
      <c r="AX38" s="956"/>
      <c r="AY38" s="956"/>
      <c r="AZ38" s="956"/>
      <c r="BA38" s="956"/>
      <c r="BB38" s="956"/>
      <c r="BC38" s="956"/>
      <c r="BD38" s="956"/>
      <c r="BE38" s="956"/>
      <c r="BF38" s="956"/>
      <c r="BG38" s="956"/>
      <c r="BH38" s="956"/>
      <c r="BI38" s="956"/>
      <c r="BJ38" s="956"/>
      <c r="BK38" s="956"/>
      <c r="BL38" s="956"/>
      <c r="BM38" s="956"/>
      <c r="BN38" s="956"/>
      <c r="BO38" s="956"/>
      <c r="BP38" s="956"/>
      <c r="BQ38" s="956"/>
      <c r="BR38" s="956"/>
      <c r="BS38" s="956"/>
      <c r="BT38" s="956"/>
      <c r="BU38" s="956"/>
      <c r="BV38" s="956"/>
      <c r="BW38" s="956"/>
      <c r="BX38" s="956"/>
      <c r="BY38" s="956"/>
      <c r="BZ38" s="956"/>
      <c r="CA38" s="956"/>
      <c r="CB38" s="956"/>
      <c r="CC38" s="956"/>
      <c r="CD38" s="956"/>
      <c r="CE38" s="956"/>
      <c r="CF38" s="956"/>
      <c r="CG38" s="956"/>
      <c r="CH38" s="956"/>
      <c r="CI38" s="956"/>
      <c r="CJ38" s="956"/>
      <c r="CK38" s="956"/>
      <c r="CL38" s="956"/>
      <c r="CM38" s="956"/>
      <c r="CN38" s="956"/>
      <c r="CO38" s="956"/>
      <c r="CP38" s="956"/>
      <c r="CQ38" s="956"/>
      <c r="CR38" s="956"/>
      <c r="CS38" s="956"/>
      <c r="CT38" s="956"/>
      <c r="CU38" s="956"/>
      <c r="CV38" s="956"/>
      <c r="CW38" s="956"/>
      <c r="CX38" s="961"/>
      <c r="CY38" s="961"/>
      <c r="CZ38" s="961"/>
      <c r="DA38" s="962"/>
      <c r="DB38" s="959"/>
    </row>
    <row r="39" spans="2:106" ht="11.25" customHeight="1">
      <c r="B39" s="960"/>
      <c r="C39" s="956"/>
      <c r="D39" s="956"/>
      <c r="E39" s="956"/>
      <c r="F39" s="956"/>
      <c r="G39" s="956"/>
      <c r="H39" s="956"/>
      <c r="I39" s="956"/>
      <c r="J39" s="956"/>
      <c r="K39" s="956"/>
      <c r="L39" s="956"/>
      <c r="M39" s="956"/>
      <c r="N39" s="956"/>
      <c r="O39" s="956"/>
      <c r="P39" s="956"/>
      <c r="Q39" s="956"/>
      <c r="R39" s="956"/>
      <c r="S39" s="956"/>
      <c r="T39" s="956"/>
      <c r="U39" s="956"/>
      <c r="V39" s="956"/>
      <c r="W39" s="956"/>
      <c r="X39" s="956"/>
      <c r="Y39" s="956"/>
      <c r="Z39" s="956"/>
      <c r="AA39" s="956"/>
      <c r="AB39" s="956"/>
      <c r="AC39" s="956"/>
      <c r="AD39" s="956"/>
      <c r="AE39" s="956"/>
      <c r="AF39" s="956"/>
      <c r="AG39" s="956"/>
      <c r="AH39" s="956"/>
      <c r="AI39" s="956"/>
      <c r="AJ39" s="956"/>
      <c r="AK39" s="956"/>
      <c r="AL39" s="956"/>
      <c r="AM39" s="956"/>
      <c r="AN39" s="956"/>
      <c r="AO39" s="956"/>
      <c r="AP39" s="956"/>
      <c r="AQ39" s="956"/>
      <c r="AR39" s="956"/>
      <c r="AS39" s="956"/>
      <c r="AT39" s="956"/>
      <c r="AU39" s="956"/>
      <c r="AV39" s="956"/>
      <c r="AW39" s="956"/>
      <c r="AX39" s="956"/>
      <c r="AY39" s="956"/>
      <c r="AZ39" s="956"/>
      <c r="BA39" s="956"/>
      <c r="BB39" s="956"/>
      <c r="BC39" s="956"/>
      <c r="BD39" s="956"/>
      <c r="BE39" s="956"/>
      <c r="BF39" s="956"/>
      <c r="BG39" s="956"/>
      <c r="BH39" s="956"/>
      <c r="BI39" s="956"/>
      <c r="BJ39" s="956"/>
      <c r="BK39" s="956"/>
      <c r="BL39" s="956"/>
      <c r="BM39" s="956"/>
      <c r="BN39" s="956"/>
      <c r="BO39" s="956"/>
      <c r="BP39" s="956"/>
      <c r="BQ39" s="956"/>
      <c r="BR39" s="956"/>
      <c r="BS39" s="956"/>
      <c r="BT39" s="956"/>
      <c r="BU39" s="956"/>
      <c r="BV39" s="956"/>
      <c r="BW39" s="956"/>
      <c r="BX39" s="956"/>
      <c r="BY39" s="956"/>
      <c r="BZ39" s="956"/>
      <c r="CA39" s="956"/>
      <c r="CB39" s="956"/>
      <c r="CC39" s="956"/>
      <c r="CD39" s="956"/>
      <c r="CE39" s="956"/>
      <c r="CF39" s="956"/>
      <c r="CG39" s="956"/>
      <c r="CH39" s="956"/>
      <c r="CI39" s="956"/>
      <c r="CJ39" s="956"/>
      <c r="CK39" s="956"/>
      <c r="CL39" s="956"/>
      <c r="CM39" s="956"/>
      <c r="CN39" s="956"/>
      <c r="CO39" s="956"/>
      <c r="CP39" s="956"/>
      <c r="CQ39" s="956"/>
      <c r="CR39" s="956"/>
      <c r="CS39" s="956"/>
      <c r="CT39" s="956"/>
      <c r="CU39" s="956"/>
      <c r="CV39" s="956"/>
      <c r="CW39" s="956"/>
      <c r="CX39" s="961"/>
      <c r="CY39" s="961"/>
      <c r="CZ39" s="961"/>
      <c r="DA39" s="962"/>
      <c r="DB39" s="959"/>
    </row>
    <row r="40" spans="2:106" ht="11.25" customHeight="1">
      <c r="B40" s="960"/>
      <c r="C40" s="956"/>
      <c r="D40" s="956"/>
      <c r="E40" s="956"/>
      <c r="F40" s="956"/>
      <c r="G40" s="956" t="s">
        <v>1168</v>
      </c>
      <c r="H40" s="956"/>
      <c r="I40" s="956"/>
      <c r="J40" s="956"/>
      <c r="K40" s="956"/>
      <c r="L40" s="956"/>
      <c r="M40" s="956"/>
      <c r="N40" s="956" t="s">
        <v>2606</v>
      </c>
      <c r="O40" s="956"/>
      <c r="P40" s="956" t="str">
        <f>TEXT([9]기계경비총괄표!G16,"#,##0")</f>
        <v>57,077</v>
      </c>
      <c r="Q40" s="956"/>
      <c r="R40" s="956"/>
      <c r="S40" s="956"/>
      <c r="T40" s="956"/>
      <c r="U40" s="956"/>
      <c r="V40" s="956"/>
      <c r="W40" s="956"/>
      <c r="X40" s="956"/>
      <c r="Y40" s="956" t="s">
        <v>2607</v>
      </c>
      <c r="Z40" s="956"/>
      <c r="AA40" s="956"/>
      <c r="AB40" s="956" t="str">
        <f>TEXT(BB13,"#,##0.#######")</f>
        <v>225.</v>
      </c>
      <c r="AC40" s="956"/>
      <c r="AD40" s="956"/>
      <c r="AE40" s="956"/>
      <c r="AF40" s="956"/>
      <c r="AG40" s="956"/>
      <c r="AH40" s="956" t="s">
        <v>1167</v>
      </c>
      <c r="AI40" s="956"/>
      <c r="AJ40" s="956" t="str">
        <f>TEXT(TRUNC(P40/BB13,1),"#,##0.#")</f>
        <v>253.6</v>
      </c>
      <c r="AK40" s="956"/>
      <c r="AL40" s="956"/>
      <c r="AM40" s="956"/>
      <c r="AN40" s="956"/>
      <c r="AO40" s="956"/>
      <c r="AP40" s="956"/>
      <c r="AQ40" s="956"/>
      <c r="AR40" s="956"/>
      <c r="AS40" s="956"/>
      <c r="AT40" s="956"/>
      <c r="AU40" s="956"/>
      <c r="AV40" s="956"/>
      <c r="AW40" s="956"/>
      <c r="AX40" s="956"/>
      <c r="AY40" s="956"/>
      <c r="AZ40" s="956"/>
      <c r="BA40" s="956"/>
      <c r="BB40" s="956"/>
      <c r="BC40" s="956"/>
      <c r="BD40" s="956"/>
      <c r="BE40" s="956"/>
      <c r="BF40" s="956"/>
      <c r="BG40" s="956"/>
      <c r="BH40" s="956"/>
      <c r="BI40" s="956"/>
      <c r="BJ40" s="956"/>
      <c r="BK40" s="956"/>
      <c r="BL40" s="956"/>
      <c r="BM40" s="956"/>
      <c r="BN40" s="956"/>
      <c r="BO40" s="956"/>
      <c r="BP40" s="956"/>
      <c r="BQ40" s="956"/>
      <c r="BR40" s="956"/>
      <c r="BS40" s="956"/>
      <c r="BT40" s="956"/>
      <c r="BU40" s="956"/>
      <c r="BV40" s="956"/>
      <c r="BW40" s="956"/>
      <c r="BX40" s="956"/>
      <c r="BY40" s="956"/>
      <c r="BZ40" s="956"/>
      <c r="CA40" s="956"/>
      <c r="CB40" s="956"/>
      <c r="CC40" s="956"/>
      <c r="CD40" s="956"/>
      <c r="CE40" s="956"/>
      <c r="CF40" s="956"/>
      <c r="CG40" s="956"/>
      <c r="CH40" s="956"/>
      <c r="CI40" s="956"/>
      <c r="CJ40" s="956"/>
      <c r="CK40" s="956"/>
      <c r="CL40" s="956"/>
      <c r="CM40" s="956"/>
      <c r="CN40" s="956"/>
      <c r="CO40" s="956"/>
      <c r="CP40" s="956"/>
      <c r="CQ40" s="956"/>
      <c r="CR40" s="956"/>
      <c r="CS40" s="956"/>
      <c r="CT40" s="956"/>
      <c r="CU40" s="956"/>
      <c r="CV40" s="956"/>
      <c r="CW40" s="956"/>
      <c r="CX40" s="961"/>
      <c r="CY40" s="961"/>
      <c r="CZ40" s="961"/>
      <c r="DA40" s="962"/>
      <c r="DB40" s="959"/>
    </row>
    <row r="41" spans="2:106" ht="11.25" customHeight="1">
      <c r="B41" s="960"/>
      <c r="C41" s="956"/>
      <c r="D41" s="956"/>
      <c r="E41" s="956"/>
      <c r="F41" s="956"/>
      <c r="G41" s="956" t="s">
        <v>1169</v>
      </c>
      <c r="H41" s="956"/>
      <c r="I41" s="956"/>
      <c r="J41" s="956"/>
      <c r="K41" s="956"/>
      <c r="L41" s="956"/>
      <c r="M41" s="956"/>
      <c r="N41" s="956" t="s">
        <v>2606</v>
      </c>
      <c r="O41" s="956"/>
      <c r="P41" s="956" t="str">
        <f>TEXT([9]기계경비총괄표!H16,"#,##0")</f>
        <v>11,258</v>
      </c>
      <c r="Q41" s="956"/>
      <c r="R41" s="956"/>
      <c r="S41" s="956"/>
      <c r="T41" s="956"/>
      <c r="U41" s="956"/>
      <c r="V41" s="956"/>
      <c r="W41" s="956"/>
      <c r="X41" s="956"/>
      <c r="Y41" s="956" t="s">
        <v>2607</v>
      </c>
      <c r="Z41" s="956"/>
      <c r="AA41" s="956"/>
      <c r="AB41" s="956" t="str">
        <f>TEXT(BB13,"#,##0.#######")</f>
        <v>225.</v>
      </c>
      <c r="AC41" s="956"/>
      <c r="AD41" s="956"/>
      <c r="AE41" s="956"/>
      <c r="AF41" s="956"/>
      <c r="AG41" s="956"/>
      <c r="AH41" s="956" t="s">
        <v>1167</v>
      </c>
      <c r="AI41" s="956"/>
      <c r="AJ41" s="956"/>
      <c r="AK41" s="956" t="str">
        <f>TEXT(TRUNC(P41/BB13,1),"#,##0.#")</f>
        <v>50.</v>
      </c>
      <c r="AL41" s="956"/>
      <c r="AM41" s="956"/>
      <c r="AN41" s="956"/>
      <c r="AO41" s="956"/>
      <c r="AP41" s="956"/>
      <c r="AQ41" s="956"/>
      <c r="AR41" s="956"/>
      <c r="AS41" s="956"/>
      <c r="AT41" s="956"/>
      <c r="AU41" s="956"/>
      <c r="AV41" s="956"/>
      <c r="AW41" s="956"/>
      <c r="AX41" s="956"/>
      <c r="AY41" s="956"/>
      <c r="AZ41" s="956"/>
      <c r="BA41" s="956"/>
      <c r="BB41" s="956"/>
      <c r="BC41" s="956"/>
      <c r="BD41" s="956"/>
      <c r="BE41" s="956"/>
      <c r="BF41" s="956"/>
      <c r="BG41" s="956"/>
      <c r="BH41" s="956"/>
      <c r="BI41" s="956"/>
      <c r="BJ41" s="956"/>
      <c r="BK41" s="956"/>
      <c r="BL41" s="956"/>
      <c r="BM41" s="956"/>
      <c r="BN41" s="956"/>
      <c r="BO41" s="956"/>
      <c r="BP41" s="956"/>
      <c r="BQ41" s="956"/>
      <c r="BR41" s="956"/>
      <c r="BS41" s="956"/>
      <c r="BT41" s="956"/>
      <c r="BU41" s="956"/>
      <c r="BV41" s="956"/>
      <c r="BW41" s="956"/>
      <c r="BX41" s="956"/>
      <c r="BY41" s="956"/>
      <c r="BZ41" s="956"/>
      <c r="CA41" s="956"/>
      <c r="CB41" s="956"/>
      <c r="CC41" s="956"/>
      <c r="CD41" s="956"/>
      <c r="CE41" s="956"/>
      <c r="CF41" s="956"/>
      <c r="CG41" s="956"/>
      <c r="CH41" s="956"/>
      <c r="CI41" s="956"/>
      <c r="CJ41" s="956"/>
      <c r="CK41" s="956"/>
      <c r="CL41" s="956"/>
      <c r="CM41" s="956"/>
      <c r="CN41" s="956"/>
      <c r="CO41" s="956"/>
      <c r="CP41" s="956"/>
      <c r="CQ41" s="956"/>
      <c r="CR41" s="956"/>
      <c r="CS41" s="956"/>
      <c r="CT41" s="956"/>
      <c r="CU41" s="956"/>
      <c r="CV41" s="956"/>
      <c r="CW41" s="956"/>
      <c r="CX41" s="961"/>
      <c r="CY41" s="961"/>
      <c r="CZ41" s="961"/>
      <c r="DA41" s="962"/>
      <c r="DB41" s="959"/>
    </row>
    <row r="42" spans="2:106" ht="11.25" customHeight="1">
      <c r="B42" s="960"/>
      <c r="C42" s="956"/>
      <c r="D42" s="956"/>
      <c r="E42" s="956"/>
      <c r="F42" s="956"/>
      <c r="G42" s="956" t="s">
        <v>2608</v>
      </c>
      <c r="H42" s="956"/>
      <c r="I42" s="956"/>
      <c r="J42" s="956"/>
      <c r="K42" s="956" t="s">
        <v>2609</v>
      </c>
      <c r="L42" s="956"/>
      <c r="M42" s="956"/>
      <c r="N42" s="956" t="s">
        <v>2606</v>
      </c>
      <c r="O42" s="956"/>
      <c r="P42" s="956" t="str">
        <f>TEXT([9]기계경비총괄표!I16,"#,##0")</f>
        <v>20,711</v>
      </c>
      <c r="Q42" s="956"/>
      <c r="R42" s="956"/>
      <c r="S42" s="956"/>
      <c r="T42" s="956"/>
      <c r="U42" s="956"/>
      <c r="V42" s="956"/>
      <c r="W42" s="956"/>
      <c r="X42" s="956"/>
      <c r="Y42" s="956" t="s">
        <v>2607</v>
      </c>
      <c r="Z42" s="956"/>
      <c r="AA42" s="956"/>
      <c r="AB42" s="956" t="str">
        <f>TEXT(BB13,"#,##0.#######")</f>
        <v>225.</v>
      </c>
      <c r="AC42" s="956"/>
      <c r="AD42" s="956"/>
      <c r="AE42" s="956"/>
      <c r="AF42" s="956"/>
      <c r="AG42" s="956"/>
      <c r="AH42" s="956" t="s">
        <v>1167</v>
      </c>
      <c r="AI42" s="956"/>
      <c r="AJ42" s="956"/>
      <c r="AK42" s="956" t="str">
        <f>TEXT(TRUNC(P42/BB13,1),"#,##0.#")</f>
        <v>92.</v>
      </c>
      <c r="AL42" s="956"/>
      <c r="AM42" s="956"/>
      <c r="AN42" s="956"/>
      <c r="AO42" s="956"/>
      <c r="AP42" s="956"/>
      <c r="AQ42" s="956"/>
      <c r="AR42" s="956"/>
      <c r="AS42" s="956"/>
      <c r="AT42" s="956"/>
      <c r="AU42" s="956"/>
      <c r="AV42" s="956"/>
      <c r="AW42" s="956"/>
      <c r="AX42" s="956"/>
      <c r="AY42" s="956"/>
      <c r="AZ42" s="956"/>
      <c r="BA42" s="956"/>
      <c r="BB42" s="956"/>
      <c r="BC42" s="956"/>
      <c r="BD42" s="956"/>
      <c r="BE42" s="956"/>
      <c r="BF42" s="956"/>
      <c r="BG42" s="956"/>
      <c r="BH42" s="956"/>
      <c r="BI42" s="956"/>
      <c r="BJ42" s="956"/>
      <c r="BK42" s="956"/>
      <c r="BL42" s="956"/>
      <c r="BM42" s="956"/>
      <c r="BN42" s="956"/>
      <c r="BO42" s="956"/>
      <c r="BP42" s="956"/>
      <c r="BQ42" s="956"/>
      <c r="BR42" s="956"/>
      <c r="BS42" s="956"/>
      <c r="BT42" s="956"/>
      <c r="BU42" s="956"/>
      <c r="BV42" s="956"/>
      <c r="BW42" s="956"/>
      <c r="BX42" s="956"/>
      <c r="BY42" s="956"/>
      <c r="BZ42" s="956"/>
      <c r="CA42" s="956"/>
      <c r="CB42" s="956"/>
      <c r="CC42" s="956"/>
      <c r="CD42" s="956"/>
      <c r="CE42" s="956"/>
      <c r="CF42" s="956"/>
      <c r="CG42" s="956"/>
      <c r="CH42" s="956"/>
      <c r="CI42" s="956"/>
      <c r="CJ42" s="956"/>
      <c r="CK42" s="956"/>
      <c r="CL42" s="956"/>
      <c r="CM42" s="956"/>
      <c r="CN42" s="956"/>
      <c r="CO42" s="956"/>
      <c r="CP42" s="956"/>
      <c r="CQ42" s="956"/>
      <c r="CR42" s="956"/>
      <c r="CS42" s="956"/>
      <c r="CT42" s="956"/>
      <c r="CU42" s="956"/>
      <c r="CV42" s="956"/>
      <c r="CW42" s="956"/>
      <c r="CX42" s="961"/>
      <c r="CY42" s="961"/>
      <c r="CZ42" s="961"/>
      <c r="DA42" s="962"/>
      <c r="DB42" s="959"/>
    </row>
    <row r="43" spans="2:106" ht="11.25" customHeight="1">
      <c r="B43" s="960"/>
      <c r="C43" s="956"/>
      <c r="D43" s="956"/>
      <c r="E43" s="956"/>
      <c r="F43" s="956"/>
      <c r="G43" s="956" t="s">
        <v>2610</v>
      </c>
      <c r="H43" s="956"/>
      <c r="I43" s="956"/>
      <c r="J43" s="956"/>
      <c r="K43" s="956" t="s">
        <v>617</v>
      </c>
      <c r="L43" s="956"/>
      <c r="M43" s="956"/>
      <c r="N43" s="956" t="s">
        <v>2606</v>
      </c>
      <c r="O43" s="956"/>
      <c r="P43" s="956"/>
      <c r="Q43" s="956"/>
      <c r="R43" s="956"/>
      <c r="S43" s="956"/>
      <c r="T43" s="956"/>
      <c r="U43" s="956"/>
      <c r="V43" s="956"/>
      <c r="W43" s="956"/>
      <c r="X43" s="956"/>
      <c r="Y43" s="956"/>
      <c r="Z43" s="956"/>
      <c r="AA43" s="956"/>
      <c r="AB43" s="956"/>
      <c r="AC43" s="956"/>
      <c r="AD43" s="956"/>
      <c r="AE43" s="956"/>
      <c r="AF43" s="956" t="str">
        <f>TEXT(AJ40+AK41+AK42,"#,##0.#######")</f>
        <v>395.6</v>
      </c>
      <c r="AG43" s="956"/>
      <c r="AH43" s="956"/>
      <c r="AI43" s="956"/>
      <c r="AJ43" s="956"/>
      <c r="AK43" s="956"/>
      <c r="AL43" s="956"/>
      <c r="AM43" s="956"/>
      <c r="AN43" s="956"/>
      <c r="AO43" s="956"/>
      <c r="AP43" s="956"/>
      <c r="AQ43" s="956"/>
      <c r="AR43" s="956"/>
      <c r="AS43" s="956"/>
      <c r="AT43" s="956"/>
      <c r="AU43" s="956"/>
      <c r="AV43" s="956"/>
      <c r="AW43" s="956"/>
      <c r="AX43" s="956"/>
      <c r="AY43" s="956"/>
      <c r="AZ43" s="956"/>
      <c r="BA43" s="956"/>
      <c r="BB43" s="956"/>
      <c r="BC43" s="956"/>
      <c r="BD43" s="956"/>
      <c r="BE43" s="956"/>
      <c r="BF43" s="956"/>
      <c r="BG43" s="956"/>
      <c r="BH43" s="956"/>
      <c r="BI43" s="956"/>
      <c r="BJ43" s="956"/>
      <c r="BK43" s="956"/>
      <c r="BL43" s="956"/>
      <c r="BM43" s="956"/>
      <c r="BN43" s="956"/>
      <c r="BO43" s="956"/>
      <c r="BP43" s="956"/>
      <c r="BQ43" s="956"/>
      <c r="BR43" s="956"/>
      <c r="BS43" s="956"/>
      <c r="BT43" s="956"/>
      <c r="BU43" s="956"/>
      <c r="BV43" s="956"/>
      <c r="BW43" s="956"/>
      <c r="BX43" s="956"/>
      <c r="BY43" s="956"/>
      <c r="BZ43" s="956"/>
      <c r="CA43" s="956"/>
      <c r="CB43" s="956"/>
      <c r="CC43" s="956"/>
      <c r="CD43" s="956"/>
      <c r="CE43" s="956"/>
      <c r="CF43" s="956"/>
      <c r="CG43" s="956"/>
      <c r="CH43" s="956"/>
      <c r="CI43" s="956"/>
      <c r="CJ43" s="956"/>
      <c r="CK43" s="956"/>
      <c r="CL43" s="956"/>
      <c r="CM43" s="956"/>
      <c r="CN43" s="956"/>
      <c r="CO43" s="956"/>
      <c r="CP43" s="956"/>
      <c r="CQ43" s="956"/>
      <c r="CR43" s="956"/>
      <c r="CS43" s="956"/>
      <c r="CT43" s="956"/>
      <c r="CU43" s="956"/>
      <c r="CV43" s="956"/>
      <c r="CW43" s="956"/>
      <c r="CX43" s="961">
        <f>CY43+CZ43+DA43</f>
        <v>395.6</v>
      </c>
      <c r="CY43" s="961" t="str">
        <f>TEXT(AJ40,"#,###.0")</f>
        <v>253.6</v>
      </c>
      <c r="CZ43" s="961" t="str">
        <f>TEXT(AK41,"#,###.0")</f>
        <v>50.0</v>
      </c>
      <c r="DA43" s="962" t="str">
        <f>TEXT(AK42,"#,###.0")</f>
        <v>92.0</v>
      </c>
      <c r="DB43" s="959"/>
    </row>
    <row r="44" spans="2:106" ht="11.25" customHeight="1">
      <c r="B44" s="960"/>
      <c r="C44" s="956"/>
      <c r="D44" s="956"/>
      <c r="E44" s="956"/>
      <c r="F44" s="956"/>
      <c r="G44" s="956"/>
      <c r="H44" s="956"/>
      <c r="I44" s="956"/>
      <c r="J44" s="956"/>
      <c r="K44" s="956"/>
      <c r="L44" s="956"/>
      <c r="M44" s="956"/>
      <c r="N44" s="956"/>
      <c r="O44" s="956"/>
      <c r="P44" s="956"/>
      <c r="Q44" s="956"/>
      <c r="R44" s="956"/>
      <c r="S44" s="956"/>
      <c r="T44" s="956"/>
      <c r="U44" s="956"/>
      <c r="V44" s="956"/>
      <c r="W44" s="956"/>
      <c r="X44" s="956"/>
      <c r="Y44" s="956"/>
      <c r="Z44" s="956"/>
      <c r="AA44" s="956"/>
      <c r="AB44" s="956"/>
      <c r="AC44" s="956"/>
      <c r="AD44" s="956"/>
      <c r="AE44" s="956"/>
      <c r="AF44" s="956"/>
      <c r="AG44" s="956"/>
      <c r="AH44" s="956"/>
      <c r="AI44" s="956"/>
      <c r="AJ44" s="956"/>
      <c r="AK44" s="956"/>
      <c r="AL44" s="956"/>
      <c r="AM44" s="956"/>
      <c r="AN44" s="956"/>
      <c r="AO44" s="956"/>
      <c r="AP44" s="956"/>
      <c r="AQ44" s="956"/>
      <c r="AR44" s="956"/>
      <c r="AS44" s="956"/>
      <c r="AT44" s="956"/>
      <c r="AU44" s="956"/>
      <c r="AV44" s="956"/>
      <c r="AW44" s="956"/>
      <c r="AX44" s="956"/>
      <c r="AY44" s="956"/>
      <c r="AZ44" s="956"/>
      <c r="BA44" s="956"/>
      <c r="BB44" s="956"/>
      <c r="BC44" s="956"/>
      <c r="BD44" s="956"/>
      <c r="BE44" s="956"/>
      <c r="BF44" s="956"/>
      <c r="BG44" s="956"/>
      <c r="BH44" s="956"/>
      <c r="BI44" s="956"/>
      <c r="BJ44" s="956"/>
      <c r="BK44" s="956"/>
      <c r="BL44" s="956"/>
      <c r="BM44" s="956"/>
      <c r="BN44" s="956"/>
      <c r="BO44" s="956"/>
      <c r="BP44" s="956"/>
      <c r="BQ44" s="956"/>
      <c r="BR44" s="956"/>
      <c r="BS44" s="956"/>
      <c r="BT44" s="956"/>
      <c r="BU44" s="956"/>
      <c r="BV44" s="956"/>
      <c r="BW44" s="956"/>
      <c r="BX44" s="956"/>
      <c r="BY44" s="956"/>
      <c r="BZ44" s="956"/>
      <c r="CA44" s="956"/>
      <c r="CB44" s="956"/>
      <c r="CC44" s="956"/>
      <c r="CD44" s="956"/>
      <c r="CE44" s="956"/>
      <c r="CF44" s="956"/>
      <c r="CG44" s="956"/>
      <c r="CH44" s="956"/>
      <c r="CI44" s="956"/>
      <c r="CJ44" s="956"/>
      <c r="CK44" s="956"/>
      <c r="CL44" s="956"/>
      <c r="CM44" s="956"/>
      <c r="CN44" s="956"/>
      <c r="CO44" s="956"/>
      <c r="CP44" s="956"/>
      <c r="CQ44" s="956"/>
      <c r="CR44" s="956"/>
      <c r="CS44" s="956"/>
      <c r="CT44" s="956"/>
      <c r="CU44" s="956"/>
      <c r="CV44" s="956"/>
      <c r="CW44" s="956"/>
      <c r="CX44" s="961"/>
      <c r="CY44" s="961"/>
      <c r="CZ44" s="961"/>
      <c r="DA44" s="962"/>
      <c r="DB44" s="959"/>
    </row>
    <row r="45" spans="2:106" ht="11.25" customHeight="1">
      <c r="B45" s="960"/>
      <c r="C45" s="956"/>
      <c r="D45" s="956"/>
      <c r="E45" s="956" t="s">
        <v>2623</v>
      </c>
      <c r="F45" s="956"/>
      <c r="G45" s="956" t="s">
        <v>2620</v>
      </c>
      <c r="H45" s="956"/>
      <c r="I45" s="956" t="s">
        <v>2659</v>
      </c>
      <c r="J45" s="956"/>
      <c r="K45" s="956"/>
      <c r="L45" s="956"/>
      <c r="M45" s="956"/>
      <c r="N45" s="956"/>
      <c r="O45" s="956"/>
      <c r="P45" s="956"/>
      <c r="Q45" s="956"/>
      <c r="R45" s="956"/>
      <c r="S45" s="956"/>
      <c r="T45" s="956"/>
      <c r="U45" s="956"/>
      <c r="V45" s="956"/>
      <c r="W45" s="956"/>
      <c r="X45" s="956"/>
      <c r="Y45" s="956"/>
      <c r="Z45" s="956" t="s">
        <v>2660</v>
      </c>
      <c r="AA45" s="956"/>
      <c r="AB45" s="956"/>
      <c r="AC45" s="956"/>
      <c r="AD45" s="956"/>
      <c r="AE45" s="956"/>
      <c r="AF45" s="956"/>
      <c r="AG45" s="956"/>
      <c r="AH45" s="956"/>
      <c r="AI45" s="956"/>
      <c r="AJ45" s="956"/>
      <c r="AK45" s="956"/>
      <c r="AL45" s="956"/>
      <c r="AM45" s="956"/>
      <c r="AN45" s="956"/>
      <c r="AO45" s="956"/>
      <c r="AP45" s="956"/>
      <c r="AQ45" s="956"/>
      <c r="AR45" s="956"/>
      <c r="AS45" s="956"/>
      <c r="AT45" s="956"/>
      <c r="AU45" s="956"/>
      <c r="AV45" s="956"/>
      <c r="AW45" s="956"/>
      <c r="AX45" s="956"/>
      <c r="AY45" s="956"/>
      <c r="AZ45" s="956"/>
      <c r="BA45" s="956"/>
      <c r="BB45" s="956"/>
      <c r="BC45" s="956"/>
      <c r="BD45" s="956"/>
      <c r="BE45" s="956"/>
      <c r="BF45" s="956"/>
      <c r="BG45" s="956"/>
      <c r="BH45" s="956"/>
      <c r="BI45" s="956"/>
      <c r="BJ45" s="956"/>
      <c r="BK45" s="956"/>
      <c r="BL45" s="956"/>
      <c r="BM45" s="956"/>
      <c r="BN45" s="956"/>
      <c r="BO45" s="956"/>
      <c r="BP45" s="956"/>
      <c r="BQ45" s="956"/>
      <c r="BR45" s="956"/>
      <c r="BS45" s="956"/>
      <c r="BT45" s="956"/>
      <c r="BU45" s="956"/>
      <c r="BV45" s="956"/>
      <c r="BW45" s="956"/>
      <c r="BX45" s="956"/>
      <c r="BY45" s="956"/>
      <c r="BZ45" s="956"/>
      <c r="CA45" s="956"/>
      <c r="CB45" s="956"/>
      <c r="CC45" s="956"/>
      <c r="CD45" s="956"/>
      <c r="CE45" s="956"/>
      <c r="CF45" s="956"/>
      <c r="CG45" s="956"/>
      <c r="CH45" s="956"/>
      <c r="CI45" s="956"/>
      <c r="CJ45" s="956"/>
      <c r="CK45" s="956"/>
      <c r="CL45" s="956"/>
      <c r="CM45" s="956"/>
      <c r="CN45" s="956"/>
      <c r="CO45" s="956"/>
      <c r="CP45" s="956"/>
      <c r="CQ45" s="956"/>
      <c r="CR45" s="956"/>
      <c r="CS45" s="956"/>
      <c r="CT45" s="956"/>
      <c r="CU45" s="956"/>
      <c r="CV45" s="956"/>
      <c r="CW45" s="956"/>
      <c r="CX45" s="961"/>
      <c r="CY45" s="961"/>
      <c r="CZ45" s="961"/>
      <c r="DA45" s="962"/>
      <c r="DB45" s="959"/>
    </row>
    <row r="46" spans="2:106" ht="11.25" customHeight="1">
      <c r="B46" s="960"/>
      <c r="C46" s="956"/>
      <c r="D46" s="956"/>
      <c r="E46" s="956"/>
      <c r="F46" s="956"/>
      <c r="G46" s="956"/>
      <c r="H46" s="956"/>
      <c r="I46" s="956"/>
      <c r="J46" s="956"/>
      <c r="K46" s="956"/>
      <c r="L46" s="956"/>
      <c r="M46" s="956"/>
      <c r="N46" s="956"/>
      <c r="O46" s="956"/>
      <c r="P46" s="956"/>
      <c r="Q46" s="956"/>
      <c r="R46" s="956"/>
      <c r="S46" s="956"/>
      <c r="T46" s="956"/>
      <c r="U46" s="956"/>
      <c r="V46" s="956"/>
      <c r="W46" s="956"/>
      <c r="X46" s="956"/>
      <c r="Y46" s="956"/>
      <c r="Z46" s="956"/>
      <c r="AA46" s="956"/>
      <c r="AB46" s="956"/>
      <c r="AC46" s="956"/>
      <c r="AD46" s="956"/>
      <c r="AE46" s="956"/>
      <c r="AF46" s="956"/>
      <c r="AG46" s="956"/>
      <c r="AH46" s="956"/>
      <c r="AI46" s="956"/>
      <c r="AJ46" s="956"/>
      <c r="AK46" s="956"/>
      <c r="AL46" s="956"/>
      <c r="AM46" s="956"/>
      <c r="AN46" s="956"/>
      <c r="AO46" s="956"/>
      <c r="AP46" s="956"/>
      <c r="AQ46" s="956"/>
      <c r="AR46" s="956"/>
      <c r="AS46" s="956"/>
      <c r="AT46" s="956"/>
      <c r="AU46" s="956"/>
      <c r="AV46" s="956"/>
      <c r="AW46" s="956"/>
      <c r="AX46" s="956"/>
      <c r="AY46" s="956"/>
      <c r="AZ46" s="956"/>
      <c r="BA46" s="956"/>
      <c r="BB46" s="956"/>
      <c r="BC46" s="956"/>
      <c r="BD46" s="956"/>
      <c r="BE46" s="956"/>
      <c r="BF46" s="956"/>
      <c r="BG46" s="956"/>
      <c r="BH46" s="956"/>
      <c r="BI46" s="956"/>
      <c r="BJ46" s="956"/>
      <c r="BK46" s="956"/>
      <c r="BL46" s="956"/>
      <c r="BM46" s="956"/>
      <c r="BN46" s="956"/>
      <c r="BO46" s="956"/>
      <c r="BP46" s="956"/>
      <c r="BQ46" s="956"/>
      <c r="BR46" s="956"/>
      <c r="BS46" s="956"/>
      <c r="BT46" s="956"/>
      <c r="BU46" s="956"/>
      <c r="BV46" s="956"/>
      <c r="BW46" s="956"/>
      <c r="BX46" s="956"/>
      <c r="BY46" s="956"/>
      <c r="BZ46" s="956"/>
      <c r="CA46" s="956"/>
      <c r="CB46" s="956"/>
      <c r="CC46" s="956"/>
      <c r="CD46" s="956"/>
      <c r="CE46" s="956"/>
      <c r="CF46" s="956"/>
      <c r="CG46" s="956"/>
      <c r="CH46" s="956"/>
      <c r="CI46" s="956"/>
      <c r="CJ46" s="956"/>
      <c r="CK46" s="956"/>
      <c r="CL46" s="956"/>
      <c r="CM46" s="956"/>
      <c r="CN46" s="956"/>
      <c r="CO46" s="956"/>
      <c r="CP46" s="956"/>
      <c r="CQ46" s="956"/>
      <c r="CR46" s="956"/>
      <c r="CS46" s="956"/>
      <c r="CT46" s="956"/>
      <c r="CU46" s="956"/>
      <c r="CV46" s="956"/>
      <c r="CW46" s="956"/>
      <c r="CX46" s="961"/>
      <c r="CY46" s="961"/>
      <c r="CZ46" s="961"/>
      <c r="DA46" s="962"/>
      <c r="DB46" s="959"/>
    </row>
    <row r="47" spans="2:106" ht="11.25" customHeight="1">
      <c r="B47" s="960"/>
      <c r="C47" s="956"/>
      <c r="D47" s="956"/>
      <c r="E47" s="956"/>
      <c r="F47" s="956"/>
      <c r="G47" s="956" t="s">
        <v>1168</v>
      </c>
      <c r="H47" s="956"/>
      <c r="I47" s="956"/>
      <c r="J47" s="956"/>
      <c r="K47" s="956"/>
      <c r="L47" s="956"/>
      <c r="M47" s="956"/>
      <c r="N47" s="956" t="s">
        <v>2606</v>
      </c>
      <c r="O47" s="956"/>
      <c r="P47" s="956" t="str">
        <f>TEXT([9]기계경비총괄표!G17,"#,##0")</f>
        <v>57,077</v>
      </c>
      <c r="Q47" s="956"/>
      <c r="R47" s="956"/>
      <c r="S47" s="956"/>
      <c r="T47" s="956"/>
      <c r="U47" s="956"/>
      <c r="V47" s="956"/>
      <c r="W47" s="956"/>
      <c r="X47" s="956"/>
      <c r="Y47" s="956" t="s">
        <v>2607</v>
      </c>
      <c r="Z47" s="956"/>
      <c r="AA47" s="956"/>
      <c r="AB47" s="956" t="str">
        <f>TEXT(BB13,"#,##0.#######")</f>
        <v>225.</v>
      </c>
      <c r="AC47" s="956"/>
      <c r="AD47" s="956"/>
      <c r="AE47" s="956"/>
      <c r="AF47" s="956"/>
      <c r="AG47" s="956"/>
      <c r="AH47" s="956" t="s">
        <v>1167</v>
      </c>
      <c r="AI47" s="956"/>
      <c r="AJ47" s="956" t="str">
        <f>TEXT(TRUNC(P47/BB13,1),"#,##0.#")</f>
        <v>253.6</v>
      </c>
      <c r="AK47" s="956"/>
      <c r="AL47" s="956"/>
      <c r="AM47" s="956"/>
      <c r="AN47" s="956"/>
      <c r="AO47" s="956"/>
      <c r="AP47" s="956"/>
      <c r="AQ47" s="956"/>
      <c r="AR47" s="956"/>
      <c r="AS47" s="956"/>
      <c r="AT47" s="956"/>
      <c r="AU47" s="956"/>
      <c r="AV47" s="956"/>
      <c r="AW47" s="956"/>
      <c r="AX47" s="956"/>
      <c r="AY47" s="956"/>
      <c r="AZ47" s="956"/>
      <c r="BA47" s="956"/>
      <c r="BB47" s="956"/>
      <c r="BC47" s="956"/>
      <c r="BD47" s="956"/>
      <c r="BE47" s="956"/>
      <c r="BF47" s="956"/>
      <c r="BG47" s="956"/>
      <c r="BH47" s="956"/>
      <c r="BI47" s="956"/>
      <c r="BJ47" s="956"/>
      <c r="BK47" s="956"/>
      <c r="BL47" s="956"/>
      <c r="BM47" s="956"/>
      <c r="BN47" s="956"/>
      <c r="BO47" s="956"/>
      <c r="BP47" s="956"/>
      <c r="BQ47" s="956"/>
      <c r="BR47" s="956"/>
      <c r="BS47" s="956"/>
      <c r="BT47" s="956"/>
      <c r="BU47" s="956"/>
      <c r="BV47" s="956"/>
      <c r="BW47" s="956"/>
      <c r="BX47" s="956"/>
      <c r="BY47" s="956"/>
      <c r="BZ47" s="956"/>
      <c r="CA47" s="956"/>
      <c r="CB47" s="956"/>
      <c r="CC47" s="956"/>
      <c r="CD47" s="956"/>
      <c r="CE47" s="956"/>
      <c r="CF47" s="956"/>
      <c r="CG47" s="956"/>
      <c r="CH47" s="956"/>
      <c r="CI47" s="956"/>
      <c r="CJ47" s="956"/>
      <c r="CK47" s="956"/>
      <c r="CL47" s="956"/>
      <c r="CM47" s="956"/>
      <c r="CN47" s="956"/>
      <c r="CO47" s="956"/>
      <c r="CP47" s="956"/>
      <c r="CQ47" s="956"/>
      <c r="CR47" s="956"/>
      <c r="CS47" s="956"/>
      <c r="CT47" s="956"/>
      <c r="CU47" s="956"/>
      <c r="CV47" s="956"/>
      <c r="CW47" s="956"/>
      <c r="CX47" s="961"/>
      <c r="CY47" s="961"/>
      <c r="CZ47" s="961"/>
      <c r="DA47" s="962"/>
      <c r="DB47" s="959"/>
    </row>
    <row r="48" spans="2:106" ht="11.25" customHeight="1">
      <c r="B48" s="960"/>
      <c r="C48" s="956"/>
      <c r="D48" s="956"/>
      <c r="E48" s="956"/>
      <c r="F48" s="956"/>
      <c r="G48" s="956" t="s">
        <v>1169</v>
      </c>
      <c r="H48" s="956"/>
      <c r="I48" s="956"/>
      <c r="J48" s="956"/>
      <c r="K48" s="956"/>
      <c r="L48" s="956"/>
      <c r="M48" s="956"/>
      <c r="N48" s="956" t="s">
        <v>2606</v>
      </c>
      <c r="O48" s="956"/>
      <c r="P48" s="956"/>
      <c r="Q48" s="956" t="str">
        <f>TEXT([9]기계경비총괄표!H17,"#,##0")</f>
        <v>6,355</v>
      </c>
      <c r="R48" s="956"/>
      <c r="S48" s="956"/>
      <c r="T48" s="956"/>
      <c r="U48" s="956"/>
      <c r="V48" s="956"/>
      <c r="W48" s="956"/>
      <c r="X48" s="956"/>
      <c r="Y48" s="956" t="s">
        <v>2607</v>
      </c>
      <c r="Z48" s="956"/>
      <c r="AA48" s="956"/>
      <c r="AB48" s="956" t="str">
        <f>TEXT(BB13,"#,##0.#######")</f>
        <v>225.</v>
      </c>
      <c r="AC48" s="956"/>
      <c r="AD48" s="956"/>
      <c r="AE48" s="956"/>
      <c r="AF48" s="956"/>
      <c r="AG48" s="956"/>
      <c r="AH48" s="956" t="s">
        <v>1167</v>
      </c>
      <c r="AI48" s="956"/>
      <c r="AJ48" s="956"/>
      <c r="AK48" s="956" t="str">
        <f>TEXT(TRUNC(Q48/BB13,1),"#,##0.#")</f>
        <v>28.2</v>
      </c>
      <c r="AL48" s="956"/>
      <c r="AM48" s="956"/>
      <c r="AN48" s="956"/>
      <c r="AO48" s="956"/>
      <c r="AP48" s="956"/>
      <c r="AQ48" s="956"/>
      <c r="AR48" s="956"/>
      <c r="AS48" s="956"/>
      <c r="AT48" s="956"/>
      <c r="AU48" s="956"/>
      <c r="AV48" s="956"/>
      <c r="AW48" s="956"/>
      <c r="AX48" s="956"/>
      <c r="AY48" s="956"/>
      <c r="AZ48" s="956"/>
      <c r="BA48" s="956"/>
      <c r="BB48" s="956"/>
      <c r="BC48" s="956"/>
      <c r="BD48" s="956"/>
      <c r="BE48" s="956"/>
      <c r="BF48" s="956"/>
      <c r="BG48" s="956"/>
      <c r="BH48" s="956"/>
      <c r="BI48" s="956"/>
      <c r="BJ48" s="956"/>
      <c r="BK48" s="956"/>
      <c r="BL48" s="956"/>
      <c r="BM48" s="956"/>
      <c r="BN48" s="956"/>
      <c r="BO48" s="956"/>
      <c r="BP48" s="956"/>
      <c r="BQ48" s="956"/>
      <c r="BR48" s="956"/>
      <c r="BS48" s="956"/>
      <c r="BT48" s="956"/>
      <c r="BU48" s="956"/>
      <c r="BV48" s="956"/>
      <c r="BW48" s="956"/>
      <c r="BX48" s="956"/>
      <c r="BY48" s="956"/>
      <c r="BZ48" s="956"/>
      <c r="CA48" s="956"/>
      <c r="CB48" s="956"/>
      <c r="CC48" s="956"/>
      <c r="CD48" s="956"/>
      <c r="CE48" s="956"/>
      <c r="CF48" s="956"/>
      <c r="CG48" s="956"/>
      <c r="CH48" s="956"/>
      <c r="CI48" s="956"/>
      <c r="CJ48" s="956"/>
      <c r="CK48" s="956"/>
      <c r="CL48" s="956"/>
      <c r="CM48" s="956"/>
      <c r="CN48" s="956"/>
      <c r="CO48" s="956"/>
      <c r="CP48" s="956"/>
      <c r="CQ48" s="956"/>
      <c r="CR48" s="956"/>
      <c r="CS48" s="956"/>
      <c r="CT48" s="956"/>
      <c r="CU48" s="956"/>
      <c r="CV48" s="956"/>
      <c r="CW48" s="956"/>
      <c r="CX48" s="961"/>
      <c r="CY48" s="961"/>
      <c r="CZ48" s="961"/>
      <c r="DA48" s="962"/>
      <c r="DB48" s="959"/>
    </row>
    <row r="49" spans="2:106" ht="11.25" customHeight="1">
      <c r="B49" s="960"/>
      <c r="C49" s="956"/>
      <c r="D49" s="956"/>
      <c r="E49" s="956"/>
      <c r="F49" s="956"/>
      <c r="G49" s="956" t="s">
        <v>2608</v>
      </c>
      <c r="H49" s="956"/>
      <c r="I49" s="956"/>
      <c r="J49" s="956"/>
      <c r="K49" s="956" t="s">
        <v>2609</v>
      </c>
      <c r="L49" s="956"/>
      <c r="M49" s="956"/>
      <c r="N49" s="956" t="s">
        <v>2606</v>
      </c>
      <c r="O49" s="956"/>
      <c r="P49" s="956"/>
      <c r="Q49" s="956" t="str">
        <f>TEXT([9]기계경비총괄표!I17,"#,##0")</f>
        <v>7,237</v>
      </c>
      <c r="R49" s="956"/>
      <c r="S49" s="956"/>
      <c r="T49" s="956"/>
      <c r="U49" s="956"/>
      <c r="V49" s="956"/>
      <c r="W49" s="956"/>
      <c r="X49" s="956"/>
      <c r="Y49" s="956" t="s">
        <v>2607</v>
      </c>
      <c r="Z49" s="956"/>
      <c r="AA49" s="956"/>
      <c r="AB49" s="956" t="str">
        <f>TEXT(BB13,"#,##0.#######")</f>
        <v>225.</v>
      </c>
      <c r="AC49" s="956"/>
      <c r="AD49" s="956"/>
      <c r="AE49" s="956"/>
      <c r="AF49" s="956"/>
      <c r="AG49" s="956"/>
      <c r="AH49" s="956" t="s">
        <v>1167</v>
      </c>
      <c r="AI49" s="956"/>
      <c r="AJ49" s="956"/>
      <c r="AK49" s="956" t="str">
        <f>TEXT(TRUNC(Q49/BB13,1),"#,##0.#")</f>
        <v>32.1</v>
      </c>
      <c r="AL49" s="956"/>
      <c r="AM49" s="956"/>
      <c r="AN49" s="956"/>
      <c r="AO49" s="956"/>
      <c r="AP49" s="956"/>
      <c r="AQ49" s="956"/>
      <c r="AR49" s="956"/>
      <c r="AS49" s="956"/>
      <c r="AT49" s="956"/>
      <c r="AU49" s="956"/>
      <c r="AV49" s="956"/>
      <c r="AW49" s="956"/>
      <c r="AX49" s="956"/>
      <c r="AY49" s="956"/>
      <c r="AZ49" s="956"/>
      <c r="BA49" s="956"/>
      <c r="BB49" s="956"/>
      <c r="BC49" s="956"/>
      <c r="BD49" s="956"/>
      <c r="BE49" s="956"/>
      <c r="BF49" s="956"/>
      <c r="BG49" s="956"/>
      <c r="BH49" s="956"/>
      <c r="BI49" s="956"/>
      <c r="BJ49" s="956"/>
      <c r="BK49" s="956"/>
      <c r="BL49" s="956"/>
      <c r="BM49" s="956"/>
      <c r="BN49" s="956"/>
      <c r="BO49" s="956"/>
      <c r="BP49" s="956"/>
      <c r="BQ49" s="956"/>
      <c r="BR49" s="956"/>
      <c r="BS49" s="956"/>
      <c r="BT49" s="956"/>
      <c r="BU49" s="956"/>
      <c r="BV49" s="956"/>
      <c r="BW49" s="956"/>
      <c r="BX49" s="956"/>
      <c r="BY49" s="956"/>
      <c r="BZ49" s="956"/>
      <c r="CA49" s="956"/>
      <c r="CB49" s="956"/>
      <c r="CC49" s="956"/>
      <c r="CD49" s="956"/>
      <c r="CE49" s="956"/>
      <c r="CF49" s="956"/>
      <c r="CG49" s="956"/>
      <c r="CH49" s="956"/>
      <c r="CI49" s="956"/>
      <c r="CJ49" s="956"/>
      <c r="CK49" s="956"/>
      <c r="CL49" s="956"/>
      <c r="CM49" s="956"/>
      <c r="CN49" s="956"/>
      <c r="CO49" s="956"/>
      <c r="CP49" s="956"/>
      <c r="CQ49" s="956"/>
      <c r="CR49" s="956"/>
      <c r="CS49" s="956"/>
      <c r="CT49" s="956"/>
      <c r="CU49" s="956"/>
      <c r="CV49" s="956"/>
      <c r="CW49" s="956"/>
      <c r="CX49" s="961"/>
      <c r="CY49" s="961"/>
      <c r="CZ49" s="961"/>
      <c r="DA49" s="962"/>
      <c r="DB49" s="959"/>
    </row>
    <row r="50" spans="2:106" ht="11.25" customHeight="1">
      <c r="B50" s="960"/>
      <c r="C50" s="956"/>
      <c r="D50" s="956"/>
      <c r="E50" s="956"/>
      <c r="F50" s="956"/>
      <c r="G50" s="956" t="s">
        <v>2610</v>
      </c>
      <c r="H50" s="956"/>
      <c r="I50" s="956"/>
      <c r="J50" s="956"/>
      <c r="K50" s="956" t="s">
        <v>617</v>
      </c>
      <c r="L50" s="956"/>
      <c r="M50" s="956"/>
      <c r="N50" s="956" t="s">
        <v>2606</v>
      </c>
      <c r="O50" s="956"/>
      <c r="P50" s="956"/>
      <c r="Q50" s="956"/>
      <c r="R50" s="956"/>
      <c r="S50" s="956"/>
      <c r="T50" s="956"/>
      <c r="U50" s="956"/>
      <c r="V50" s="956"/>
      <c r="W50" s="956"/>
      <c r="X50" s="956"/>
      <c r="Y50" s="956"/>
      <c r="Z50" s="956"/>
      <c r="AA50" s="956"/>
      <c r="AB50" s="956"/>
      <c r="AC50" s="956"/>
      <c r="AD50" s="956"/>
      <c r="AE50" s="956"/>
      <c r="AF50" s="956" t="str">
        <f>TEXT(AJ47+AK48+AK49,"#,##0.#######")</f>
        <v>313.9</v>
      </c>
      <c r="AG50" s="956"/>
      <c r="AH50" s="956"/>
      <c r="AI50" s="956"/>
      <c r="AJ50" s="956"/>
      <c r="AK50" s="956"/>
      <c r="AL50" s="956"/>
      <c r="AM50" s="956"/>
      <c r="AN50" s="956"/>
      <c r="AO50" s="956"/>
      <c r="AP50" s="956"/>
      <c r="AQ50" s="956"/>
      <c r="AR50" s="956"/>
      <c r="AS50" s="956"/>
      <c r="AT50" s="956"/>
      <c r="AU50" s="956"/>
      <c r="AV50" s="956"/>
      <c r="AW50" s="956"/>
      <c r="AX50" s="956"/>
      <c r="AY50" s="956"/>
      <c r="AZ50" s="956"/>
      <c r="BA50" s="956"/>
      <c r="BB50" s="956"/>
      <c r="BC50" s="956"/>
      <c r="BD50" s="956"/>
      <c r="BE50" s="956"/>
      <c r="BF50" s="956"/>
      <c r="BG50" s="956"/>
      <c r="BH50" s="956"/>
      <c r="BI50" s="956"/>
      <c r="BJ50" s="956"/>
      <c r="BK50" s="956"/>
      <c r="BL50" s="956"/>
      <c r="BM50" s="956"/>
      <c r="BN50" s="956"/>
      <c r="BO50" s="956"/>
      <c r="BP50" s="956"/>
      <c r="BQ50" s="956"/>
      <c r="BR50" s="956"/>
      <c r="BS50" s="956"/>
      <c r="BT50" s="956"/>
      <c r="BU50" s="956"/>
      <c r="BV50" s="956"/>
      <c r="BW50" s="956"/>
      <c r="BX50" s="956"/>
      <c r="BY50" s="956"/>
      <c r="BZ50" s="956"/>
      <c r="CA50" s="956"/>
      <c r="CB50" s="956"/>
      <c r="CC50" s="956"/>
      <c r="CD50" s="956"/>
      <c r="CE50" s="956"/>
      <c r="CF50" s="956"/>
      <c r="CG50" s="956"/>
      <c r="CH50" s="956"/>
      <c r="CI50" s="956"/>
      <c r="CJ50" s="956"/>
      <c r="CK50" s="956"/>
      <c r="CL50" s="956"/>
      <c r="CM50" s="956"/>
      <c r="CN50" s="956"/>
      <c r="CO50" s="956"/>
      <c r="CP50" s="956"/>
      <c r="CQ50" s="956"/>
      <c r="CR50" s="956"/>
      <c r="CS50" s="956"/>
      <c r="CT50" s="956"/>
      <c r="CU50" s="956"/>
      <c r="CV50" s="956"/>
      <c r="CW50" s="956"/>
      <c r="CX50" s="961">
        <f>CY50+CZ50+DA50</f>
        <v>313.90000000000003</v>
      </c>
      <c r="CY50" s="961" t="str">
        <f>TEXT(AJ47,"#,###.0")</f>
        <v>253.6</v>
      </c>
      <c r="CZ50" s="961" t="str">
        <f>TEXT(AK48,"#,###.0")</f>
        <v>28.2</v>
      </c>
      <c r="DA50" s="962" t="str">
        <f>TEXT(AK49,"#,###.0")</f>
        <v>32.1</v>
      </c>
      <c r="DB50" s="959"/>
    </row>
    <row r="51" spans="2:106" ht="11.25" customHeight="1">
      <c r="B51" s="960"/>
      <c r="C51" s="956"/>
      <c r="D51" s="956"/>
      <c r="E51" s="956"/>
      <c r="F51" s="956"/>
      <c r="G51" s="956"/>
      <c r="H51" s="956"/>
      <c r="I51" s="956"/>
      <c r="J51" s="956"/>
      <c r="K51" s="956"/>
      <c r="L51" s="956"/>
      <c r="M51" s="956"/>
      <c r="N51" s="956"/>
      <c r="O51" s="956"/>
      <c r="P51" s="956"/>
      <c r="Q51" s="956"/>
      <c r="R51" s="956"/>
      <c r="S51" s="956"/>
      <c r="T51" s="956"/>
      <c r="U51" s="956"/>
      <c r="V51" s="956"/>
      <c r="W51" s="956"/>
      <c r="X51" s="956"/>
      <c r="Y51" s="956"/>
      <c r="Z51" s="956"/>
      <c r="AA51" s="956"/>
      <c r="AB51" s="956"/>
      <c r="AC51" s="956"/>
      <c r="AD51" s="956"/>
      <c r="AE51" s="956"/>
      <c r="AF51" s="956"/>
      <c r="AG51" s="956"/>
      <c r="AH51" s="956"/>
      <c r="AI51" s="956"/>
      <c r="AJ51" s="956"/>
      <c r="AK51" s="956"/>
      <c r="AL51" s="956"/>
      <c r="AM51" s="956"/>
      <c r="AN51" s="956"/>
      <c r="AO51" s="956"/>
      <c r="AP51" s="956"/>
      <c r="AQ51" s="956"/>
      <c r="AR51" s="956"/>
      <c r="AS51" s="956"/>
      <c r="AT51" s="956"/>
      <c r="AU51" s="956"/>
      <c r="AV51" s="956"/>
      <c r="AW51" s="956"/>
      <c r="AX51" s="956"/>
      <c r="AY51" s="956"/>
      <c r="AZ51" s="956"/>
      <c r="BA51" s="956"/>
      <c r="BB51" s="956"/>
      <c r="BC51" s="956"/>
      <c r="BD51" s="956"/>
      <c r="BE51" s="956"/>
      <c r="BF51" s="956"/>
      <c r="BG51" s="956"/>
      <c r="BH51" s="956"/>
      <c r="BI51" s="956"/>
      <c r="BJ51" s="956"/>
      <c r="BK51" s="956"/>
      <c r="BL51" s="956"/>
      <c r="BM51" s="956"/>
      <c r="BN51" s="956"/>
      <c r="BO51" s="956"/>
      <c r="BP51" s="956"/>
      <c r="BQ51" s="956"/>
      <c r="BR51" s="956"/>
      <c r="BS51" s="956"/>
      <c r="BT51" s="956"/>
      <c r="BU51" s="956"/>
      <c r="BV51" s="956"/>
      <c r="BW51" s="956"/>
      <c r="BX51" s="956"/>
      <c r="BY51" s="956"/>
      <c r="BZ51" s="956"/>
      <c r="CA51" s="956"/>
      <c r="CB51" s="956"/>
      <c r="CC51" s="956"/>
      <c r="CD51" s="956"/>
      <c r="CE51" s="956"/>
      <c r="CF51" s="956"/>
      <c r="CG51" s="956"/>
      <c r="CH51" s="956"/>
      <c r="CI51" s="956"/>
      <c r="CJ51" s="956"/>
      <c r="CK51" s="956"/>
      <c r="CL51" s="956"/>
      <c r="CM51" s="956"/>
      <c r="CN51" s="956"/>
      <c r="CO51" s="956"/>
      <c r="CP51" s="956"/>
      <c r="CQ51" s="956"/>
      <c r="CR51" s="956"/>
      <c r="CS51" s="956"/>
      <c r="CT51" s="956"/>
      <c r="CU51" s="956"/>
      <c r="CV51" s="956"/>
      <c r="CW51" s="956"/>
      <c r="CX51" s="961"/>
      <c r="CY51" s="961"/>
      <c r="CZ51" s="961"/>
      <c r="DA51" s="962"/>
      <c r="DB51" s="959"/>
    </row>
    <row r="52" spans="2:106" ht="11.25" customHeight="1">
      <c r="B52" s="960"/>
      <c r="C52" s="956"/>
      <c r="D52" s="956"/>
      <c r="E52" s="956" t="s">
        <v>2624</v>
      </c>
      <c r="F52" s="956"/>
      <c r="G52" s="956" t="s">
        <v>2620</v>
      </c>
      <c r="H52" s="956"/>
      <c r="I52" s="956" t="s">
        <v>2661</v>
      </c>
      <c r="J52" s="956"/>
      <c r="K52" s="956"/>
      <c r="L52" s="956"/>
      <c r="M52" s="956"/>
      <c r="N52" s="956"/>
      <c r="O52" s="956"/>
      <c r="P52" s="956"/>
      <c r="Q52" s="956"/>
      <c r="R52" s="956"/>
      <c r="S52" s="956"/>
      <c r="T52" s="956"/>
      <c r="U52" s="956"/>
      <c r="V52" s="956"/>
      <c r="W52" s="956"/>
      <c r="X52" s="956"/>
      <c r="Y52" s="956"/>
      <c r="Z52" s="956"/>
      <c r="AA52" s="956"/>
      <c r="AB52" s="956"/>
      <c r="AC52" s="956"/>
      <c r="AD52" s="956"/>
      <c r="AE52" s="956"/>
      <c r="AF52" s="956"/>
      <c r="AG52" s="956"/>
      <c r="AH52" s="956" t="s">
        <v>2662</v>
      </c>
      <c r="AI52" s="956"/>
      <c r="AJ52" s="956"/>
      <c r="AK52" s="956"/>
      <c r="AL52" s="956"/>
      <c r="AM52" s="956"/>
      <c r="AN52" s="956"/>
      <c r="AO52" s="956"/>
      <c r="AP52" s="956"/>
      <c r="AQ52" s="956"/>
      <c r="AR52" s="956"/>
      <c r="AS52" s="956"/>
      <c r="AT52" s="956"/>
      <c r="AU52" s="956"/>
      <c r="AV52" s="956"/>
      <c r="AW52" s="956"/>
      <c r="AX52" s="956"/>
      <c r="AY52" s="956"/>
      <c r="AZ52" s="956"/>
      <c r="BA52" s="956"/>
      <c r="BB52" s="956"/>
      <c r="BC52" s="956"/>
      <c r="BD52" s="956"/>
      <c r="BE52" s="956"/>
      <c r="BF52" s="956"/>
      <c r="BG52" s="956"/>
      <c r="BH52" s="956"/>
      <c r="BI52" s="956"/>
      <c r="BJ52" s="956"/>
      <c r="BK52" s="956"/>
      <c r="BL52" s="956"/>
      <c r="BM52" s="956"/>
      <c r="BN52" s="956"/>
      <c r="BO52" s="956"/>
      <c r="BP52" s="956"/>
      <c r="BQ52" s="956"/>
      <c r="BR52" s="956"/>
      <c r="BS52" s="956"/>
      <c r="BT52" s="956"/>
      <c r="BU52" s="956"/>
      <c r="BV52" s="956"/>
      <c r="BW52" s="956"/>
      <c r="BX52" s="956"/>
      <c r="BY52" s="956"/>
      <c r="BZ52" s="956"/>
      <c r="CA52" s="956"/>
      <c r="CB52" s="956"/>
      <c r="CC52" s="956"/>
      <c r="CD52" s="956"/>
      <c r="CE52" s="956"/>
      <c r="CF52" s="956"/>
      <c r="CG52" s="956"/>
      <c r="CH52" s="956"/>
      <c r="CI52" s="956"/>
      <c r="CJ52" s="956"/>
      <c r="CK52" s="956"/>
      <c r="CL52" s="956"/>
      <c r="CM52" s="956"/>
      <c r="CN52" s="956"/>
      <c r="CO52" s="956"/>
      <c r="CP52" s="956"/>
      <c r="CQ52" s="956"/>
      <c r="CR52" s="956"/>
      <c r="CS52" s="956"/>
      <c r="CT52" s="956"/>
      <c r="CU52" s="956"/>
      <c r="CV52" s="956"/>
      <c r="CW52" s="956"/>
      <c r="CX52" s="961"/>
      <c r="CY52" s="961"/>
      <c r="CZ52" s="961"/>
      <c r="DA52" s="962"/>
      <c r="DB52" s="959"/>
    </row>
    <row r="53" spans="2:106" ht="11.25" customHeight="1">
      <c r="B53" s="960"/>
      <c r="C53" s="956"/>
      <c r="D53" s="956"/>
      <c r="E53" s="956"/>
      <c r="F53" s="956"/>
      <c r="G53" s="956"/>
      <c r="H53" s="956"/>
      <c r="I53" s="956"/>
      <c r="J53" s="956"/>
      <c r="K53" s="956"/>
      <c r="L53" s="956"/>
      <c r="M53" s="956"/>
      <c r="N53" s="956"/>
      <c r="O53" s="956"/>
      <c r="P53" s="956"/>
      <c r="Q53" s="956"/>
      <c r="R53" s="956"/>
      <c r="S53" s="956"/>
      <c r="T53" s="956"/>
      <c r="U53" s="956"/>
      <c r="V53" s="956"/>
      <c r="W53" s="956"/>
      <c r="X53" s="956"/>
      <c r="Y53" s="956"/>
      <c r="Z53" s="956"/>
      <c r="AA53" s="956"/>
      <c r="AB53" s="956"/>
      <c r="AC53" s="956"/>
      <c r="AD53" s="956"/>
      <c r="AE53" s="956"/>
      <c r="AF53" s="956"/>
      <c r="AG53" s="956"/>
      <c r="AH53" s="956"/>
      <c r="AI53" s="956"/>
      <c r="AJ53" s="956"/>
      <c r="AK53" s="956"/>
      <c r="AL53" s="956"/>
      <c r="AM53" s="956"/>
      <c r="AN53" s="956"/>
      <c r="AO53" s="956"/>
      <c r="AP53" s="956"/>
      <c r="AQ53" s="956"/>
      <c r="AR53" s="956"/>
      <c r="AS53" s="956"/>
      <c r="AT53" s="956"/>
      <c r="AU53" s="956"/>
      <c r="AV53" s="956"/>
      <c r="AW53" s="956"/>
      <c r="AX53" s="956"/>
      <c r="AY53" s="956"/>
      <c r="AZ53" s="956"/>
      <c r="BA53" s="956"/>
      <c r="BB53" s="956"/>
      <c r="BC53" s="956"/>
      <c r="BD53" s="956"/>
      <c r="BE53" s="956"/>
      <c r="BF53" s="956"/>
      <c r="BG53" s="956"/>
      <c r="BH53" s="956"/>
      <c r="BI53" s="956"/>
      <c r="BJ53" s="956"/>
      <c r="BK53" s="956"/>
      <c r="BL53" s="956"/>
      <c r="BM53" s="956"/>
      <c r="BN53" s="956"/>
      <c r="BO53" s="956"/>
      <c r="BP53" s="956"/>
      <c r="BQ53" s="956"/>
      <c r="BR53" s="956"/>
      <c r="BS53" s="956"/>
      <c r="BT53" s="956"/>
      <c r="BU53" s="956"/>
      <c r="BV53" s="956"/>
      <c r="BW53" s="956"/>
      <c r="BX53" s="956"/>
      <c r="BY53" s="956"/>
      <c r="BZ53" s="956"/>
      <c r="CA53" s="956"/>
      <c r="CB53" s="956"/>
      <c r="CC53" s="956"/>
      <c r="CD53" s="956"/>
      <c r="CE53" s="956"/>
      <c r="CF53" s="956"/>
      <c r="CG53" s="956"/>
      <c r="CH53" s="956"/>
      <c r="CI53" s="956"/>
      <c r="CJ53" s="956"/>
      <c r="CK53" s="956"/>
      <c r="CL53" s="956"/>
      <c r="CM53" s="956"/>
      <c r="CN53" s="956"/>
      <c r="CO53" s="956"/>
      <c r="CP53" s="956"/>
      <c r="CQ53" s="956"/>
      <c r="CR53" s="956"/>
      <c r="CS53" s="956"/>
      <c r="CT53" s="956"/>
      <c r="CU53" s="956"/>
      <c r="CV53" s="956"/>
      <c r="CW53" s="956"/>
      <c r="CX53" s="961"/>
      <c r="CY53" s="961"/>
      <c r="CZ53" s="961"/>
      <c r="DA53" s="962"/>
      <c r="DB53" s="959"/>
    </row>
    <row r="54" spans="2:106" ht="11.25" customHeight="1">
      <c r="B54" s="960"/>
      <c r="C54" s="956"/>
      <c r="D54" s="956"/>
      <c r="E54" s="956"/>
      <c r="F54" s="956"/>
      <c r="G54" s="956" t="s">
        <v>1168</v>
      </c>
      <c r="H54" s="956"/>
      <c r="I54" s="956"/>
      <c r="J54" s="956"/>
      <c r="K54" s="956"/>
      <c r="L54" s="956"/>
      <c r="M54" s="956"/>
      <c r="N54" s="956" t="s">
        <v>2606</v>
      </c>
      <c r="O54" s="956"/>
      <c r="P54" s="956" t="str">
        <f>TEXT([9]기계경비총괄표!G18,"#,##0")</f>
        <v>57,077</v>
      </c>
      <c r="Q54" s="956"/>
      <c r="R54" s="956"/>
      <c r="S54" s="956"/>
      <c r="T54" s="956"/>
      <c r="U54" s="956"/>
      <c r="V54" s="956"/>
      <c r="W54" s="956"/>
      <c r="X54" s="956"/>
      <c r="Y54" s="956" t="s">
        <v>2607</v>
      </c>
      <c r="Z54" s="956"/>
      <c r="AA54" s="956"/>
      <c r="AB54" s="956" t="str">
        <f>TEXT(BB13,"#,##0.#######")</f>
        <v>225.</v>
      </c>
      <c r="AC54" s="956"/>
      <c r="AD54" s="956"/>
      <c r="AE54" s="956"/>
      <c r="AF54" s="956"/>
      <c r="AG54" s="956"/>
      <c r="AH54" s="956" t="s">
        <v>1167</v>
      </c>
      <c r="AI54" s="956"/>
      <c r="AJ54" s="956" t="str">
        <f>TEXT(TRUNC(P54/BB13,1),"#,##0.#")</f>
        <v>253.6</v>
      </c>
      <c r="AK54" s="956"/>
      <c r="AL54" s="956"/>
      <c r="AM54" s="956"/>
      <c r="AN54" s="956"/>
      <c r="AO54" s="956"/>
      <c r="AP54" s="956"/>
      <c r="AQ54" s="956"/>
      <c r="AR54" s="956"/>
      <c r="AS54" s="956"/>
      <c r="AT54" s="956"/>
      <c r="AU54" s="956"/>
      <c r="AV54" s="956"/>
      <c r="AW54" s="956"/>
      <c r="AX54" s="956"/>
      <c r="AY54" s="956"/>
      <c r="AZ54" s="956"/>
      <c r="BA54" s="956"/>
      <c r="BB54" s="956"/>
      <c r="BC54" s="956"/>
      <c r="BD54" s="956"/>
      <c r="BE54" s="956"/>
      <c r="BF54" s="956"/>
      <c r="BG54" s="956"/>
      <c r="BH54" s="956"/>
      <c r="BI54" s="956"/>
      <c r="BJ54" s="956"/>
      <c r="BK54" s="956"/>
      <c r="BL54" s="956"/>
      <c r="BM54" s="956"/>
      <c r="BN54" s="956"/>
      <c r="BO54" s="956"/>
      <c r="BP54" s="956"/>
      <c r="BQ54" s="956"/>
      <c r="BR54" s="956"/>
      <c r="BS54" s="956"/>
      <c r="BT54" s="956"/>
      <c r="BU54" s="956"/>
      <c r="BV54" s="956"/>
      <c r="BW54" s="956"/>
      <c r="BX54" s="956"/>
      <c r="BY54" s="956"/>
      <c r="BZ54" s="956"/>
      <c r="CA54" s="956"/>
      <c r="CB54" s="956"/>
      <c r="CC54" s="956"/>
      <c r="CD54" s="956"/>
      <c r="CE54" s="956"/>
      <c r="CF54" s="956"/>
      <c r="CG54" s="956"/>
      <c r="CH54" s="956"/>
      <c r="CI54" s="956"/>
      <c r="CJ54" s="956"/>
      <c r="CK54" s="956"/>
      <c r="CL54" s="956"/>
      <c r="CM54" s="956"/>
      <c r="CN54" s="956"/>
      <c r="CO54" s="956"/>
      <c r="CP54" s="956"/>
      <c r="CQ54" s="956"/>
      <c r="CR54" s="956"/>
      <c r="CS54" s="956"/>
      <c r="CT54" s="956"/>
      <c r="CU54" s="956"/>
      <c r="CV54" s="956"/>
      <c r="CW54" s="956"/>
      <c r="CX54" s="961"/>
      <c r="CY54" s="961"/>
      <c r="CZ54" s="961"/>
      <c r="DA54" s="962"/>
      <c r="DB54" s="959"/>
    </row>
    <row r="55" spans="2:106" ht="11.25" customHeight="1">
      <c r="B55" s="960"/>
      <c r="C55" s="956"/>
      <c r="D55" s="956"/>
      <c r="E55" s="956"/>
      <c r="F55" s="956"/>
      <c r="G55" s="956" t="s">
        <v>1169</v>
      </c>
      <c r="H55" s="956"/>
      <c r="I55" s="956"/>
      <c r="J55" s="956"/>
      <c r="K55" s="956"/>
      <c r="L55" s="956"/>
      <c r="M55" s="956"/>
      <c r="N55" s="956" t="s">
        <v>2606</v>
      </c>
      <c r="O55" s="956"/>
      <c r="P55" s="956" t="str">
        <f>TEXT([9]기계경비총괄표!H18,"#,##0")</f>
        <v>17,540</v>
      </c>
      <c r="Q55" s="956"/>
      <c r="R55" s="956"/>
      <c r="S55" s="956"/>
      <c r="T55" s="956"/>
      <c r="U55" s="956"/>
      <c r="V55" s="956"/>
      <c r="W55" s="956"/>
      <c r="X55" s="956"/>
      <c r="Y55" s="956" t="s">
        <v>2607</v>
      </c>
      <c r="Z55" s="956"/>
      <c r="AA55" s="956"/>
      <c r="AB55" s="956" t="str">
        <f>TEXT(BB13,"#,##0.#######")</f>
        <v>225.</v>
      </c>
      <c r="AC55" s="956"/>
      <c r="AD55" s="956"/>
      <c r="AE55" s="956"/>
      <c r="AF55" s="956"/>
      <c r="AG55" s="956"/>
      <c r="AH55" s="956" t="s">
        <v>1167</v>
      </c>
      <c r="AI55" s="956"/>
      <c r="AJ55" s="956"/>
      <c r="AK55" s="956" t="str">
        <f>TEXT(TRUNC(P55/BB13,1),"#,##0.#")</f>
        <v>77.9</v>
      </c>
      <c r="AL55" s="956"/>
      <c r="AM55" s="956"/>
      <c r="AN55" s="956"/>
      <c r="AO55" s="956"/>
      <c r="AP55" s="956"/>
      <c r="AQ55" s="956"/>
      <c r="AR55" s="956"/>
      <c r="AS55" s="956"/>
      <c r="AT55" s="956"/>
      <c r="AU55" s="956"/>
      <c r="AV55" s="956"/>
      <c r="AW55" s="956"/>
      <c r="AX55" s="956"/>
      <c r="AY55" s="956"/>
      <c r="AZ55" s="956"/>
      <c r="BA55" s="956"/>
      <c r="BB55" s="956"/>
      <c r="BC55" s="956"/>
      <c r="BD55" s="956"/>
      <c r="BE55" s="956"/>
      <c r="BF55" s="956"/>
      <c r="BG55" s="956"/>
      <c r="BH55" s="956"/>
      <c r="BI55" s="956"/>
      <c r="BJ55" s="956"/>
      <c r="BK55" s="956"/>
      <c r="BL55" s="956"/>
      <c r="BM55" s="956"/>
      <c r="BN55" s="956"/>
      <c r="BO55" s="956"/>
      <c r="BP55" s="956"/>
      <c r="BQ55" s="956"/>
      <c r="BR55" s="956"/>
      <c r="BS55" s="956"/>
      <c r="BT55" s="956"/>
      <c r="BU55" s="956"/>
      <c r="BV55" s="956"/>
      <c r="BW55" s="956"/>
      <c r="BX55" s="956"/>
      <c r="BY55" s="956"/>
      <c r="BZ55" s="956"/>
      <c r="CA55" s="956"/>
      <c r="CB55" s="956"/>
      <c r="CC55" s="956"/>
      <c r="CD55" s="956"/>
      <c r="CE55" s="956"/>
      <c r="CF55" s="956"/>
      <c r="CG55" s="956"/>
      <c r="CH55" s="956"/>
      <c r="CI55" s="956"/>
      <c r="CJ55" s="956"/>
      <c r="CK55" s="956"/>
      <c r="CL55" s="956"/>
      <c r="CM55" s="956"/>
      <c r="CN55" s="956"/>
      <c r="CO55" s="956"/>
      <c r="CP55" s="956"/>
      <c r="CQ55" s="956"/>
      <c r="CR55" s="956"/>
      <c r="CS55" s="956"/>
      <c r="CT55" s="956"/>
      <c r="CU55" s="956"/>
      <c r="CV55" s="956"/>
      <c r="CW55" s="956"/>
      <c r="CX55" s="961"/>
      <c r="CY55" s="961"/>
      <c r="CZ55" s="961"/>
      <c r="DA55" s="962"/>
      <c r="DB55" s="959"/>
    </row>
    <row r="56" spans="2:106" ht="11.25" customHeight="1">
      <c r="B56" s="960"/>
      <c r="C56" s="956"/>
      <c r="D56" s="956"/>
      <c r="E56" s="956"/>
      <c r="F56" s="956"/>
      <c r="G56" s="956" t="s">
        <v>2608</v>
      </c>
      <c r="H56" s="956"/>
      <c r="I56" s="956"/>
      <c r="J56" s="956"/>
      <c r="K56" s="956" t="s">
        <v>2609</v>
      </c>
      <c r="L56" s="956"/>
      <c r="M56" s="956"/>
      <c r="N56" s="956" t="s">
        <v>2606</v>
      </c>
      <c r="O56" s="956"/>
      <c r="P56" s="956" t="str">
        <f>TEXT([9]기계경비총괄표!I18,"#,##0")</f>
        <v>55,623</v>
      </c>
      <c r="Q56" s="956"/>
      <c r="R56" s="956"/>
      <c r="S56" s="956"/>
      <c r="T56" s="956"/>
      <c r="U56" s="956"/>
      <c r="V56" s="956"/>
      <c r="W56" s="956"/>
      <c r="X56" s="956"/>
      <c r="Y56" s="956" t="s">
        <v>2607</v>
      </c>
      <c r="Z56" s="956"/>
      <c r="AA56" s="956"/>
      <c r="AB56" s="956" t="str">
        <f>TEXT(BB13,"#,##0.#######")</f>
        <v>225.</v>
      </c>
      <c r="AC56" s="956"/>
      <c r="AD56" s="956"/>
      <c r="AE56" s="956"/>
      <c r="AF56" s="956"/>
      <c r="AG56" s="956"/>
      <c r="AH56" s="956" t="s">
        <v>1167</v>
      </c>
      <c r="AI56" s="956"/>
      <c r="AJ56" s="956" t="str">
        <f>TEXT(TRUNC(P56/BB13,1),"#,##0.#")</f>
        <v>247.2</v>
      </c>
      <c r="AK56" s="956"/>
      <c r="AL56" s="956"/>
      <c r="AM56" s="956"/>
      <c r="AN56" s="956"/>
      <c r="AO56" s="956"/>
      <c r="AP56" s="956"/>
      <c r="AQ56" s="956"/>
      <c r="AR56" s="956"/>
      <c r="AS56" s="956"/>
      <c r="AT56" s="956"/>
      <c r="AU56" s="956"/>
      <c r="AV56" s="956"/>
      <c r="AW56" s="956"/>
      <c r="AX56" s="956"/>
      <c r="AY56" s="956"/>
      <c r="AZ56" s="956"/>
      <c r="BA56" s="956"/>
      <c r="BB56" s="956"/>
      <c r="BC56" s="956"/>
      <c r="BD56" s="956"/>
      <c r="BE56" s="956"/>
      <c r="BF56" s="956"/>
      <c r="BG56" s="956"/>
      <c r="BH56" s="956"/>
      <c r="BI56" s="956"/>
      <c r="BJ56" s="956"/>
      <c r="BK56" s="956"/>
      <c r="BL56" s="956"/>
      <c r="BM56" s="956"/>
      <c r="BN56" s="956"/>
      <c r="BO56" s="956"/>
      <c r="BP56" s="956"/>
      <c r="BQ56" s="956"/>
      <c r="BR56" s="956"/>
      <c r="BS56" s="956"/>
      <c r="BT56" s="956"/>
      <c r="BU56" s="956"/>
      <c r="BV56" s="956"/>
      <c r="BW56" s="956"/>
      <c r="BX56" s="956"/>
      <c r="BY56" s="956"/>
      <c r="BZ56" s="956"/>
      <c r="CA56" s="956"/>
      <c r="CB56" s="956"/>
      <c r="CC56" s="956"/>
      <c r="CD56" s="956"/>
      <c r="CE56" s="956"/>
      <c r="CF56" s="956"/>
      <c r="CG56" s="956"/>
      <c r="CH56" s="956"/>
      <c r="CI56" s="956"/>
      <c r="CJ56" s="956"/>
      <c r="CK56" s="956"/>
      <c r="CL56" s="956"/>
      <c r="CM56" s="956"/>
      <c r="CN56" s="956"/>
      <c r="CO56" s="956"/>
      <c r="CP56" s="956"/>
      <c r="CQ56" s="956"/>
      <c r="CR56" s="956"/>
      <c r="CS56" s="956"/>
      <c r="CT56" s="956"/>
      <c r="CU56" s="956"/>
      <c r="CV56" s="956"/>
      <c r="CW56" s="956"/>
      <c r="CX56" s="961"/>
      <c r="CY56" s="961"/>
      <c r="CZ56" s="961"/>
      <c r="DA56" s="962"/>
      <c r="DB56" s="959"/>
    </row>
    <row r="57" spans="2:106" ht="11.25" customHeight="1">
      <c r="B57" s="960"/>
      <c r="C57" s="956"/>
      <c r="D57" s="956"/>
      <c r="E57" s="956"/>
      <c r="F57" s="956"/>
      <c r="G57" s="956" t="s">
        <v>2610</v>
      </c>
      <c r="H57" s="956"/>
      <c r="I57" s="956"/>
      <c r="J57" s="956"/>
      <c r="K57" s="956" t="s">
        <v>617</v>
      </c>
      <c r="L57" s="956"/>
      <c r="M57" s="956"/>
      <c r="N57" s="956" t="s">
        <v>2606</v>
      </c>
      <c r="O57" s="956"/>
      <c r="P57" s="956"/>
      <c r="Q57" s="956"/>
      <c r="R57" s="956"/>
      <c r="S57" s="956"/>
      <c r="T57" s="956"/>
      <c r="U57" s="956"/>
      <c r="V57" s="956"/>
      <c r="W57" s="956"/>
      <c r="X57" s="956"/>
      <c r="Y57" s="956"/>
      <c r="Z57" s="956"/>
      <c r="AA57" s="956"/>
      <c r="AB57" s="956"/>
      <c r="AC57" s="956"/>
      <c r="AD57" s="956"/>
      <c r="AE57" s="956"/>
      <c r="AF57" s="956" t="str">
        <f>TEXT(AJ54+AK55+AJ56,"#,##0.#######")</f>
        <v>578.7</v>
      </c>
      <c r="AG57" s="956"/>
      <c r="AH57" s="956"/>
      <c r="AI57" s="956"/>
      <c r="AJ57" s="956"/>
      <c r="AK57" s="956"/>
      <c r="AL57" s="956"/>
      <c r="AM57" s="956"/>
      <c r="AN57" s="956"/>
      <c r="AO57" s="956"/>
      <c r="AP57" s="956"/>
      <c r="AQ57" s="956"/>
      <c r="AR57" s="956"/>
      <c r="AS57" s="956"/>
      <c r="AT57" s="956"/>
      <c r="AU57" s="956"/>
      <c r="AV57" s="956"/>
      <c r="AW57" s="956"/>
      <c r="AX57" s="956"/>
      <c r="AY57" s="956"/>
      <c r="AZ57" s="956"/>
      <c r="BA57" s="956"/>
      <c r="BB57" s="956"/>
      <c r="BC57" s="956"/>
      <c r="BD57" s="956"/>
      <c r="BE57" s="956"/>
      <c r="BF57" s="956"/>
      <c r="BG57" s="956"/>
      <c r="BH57" s="956"/>
      <c r="BI57" s="956"/>
      <c r="BJ57" s="956"/>
      <c r="BK57" s="956"/>
      <c r="BL57" s="956"/>
      <c r="BM57" s="956"/>
      <c r="BN57" s="956"/>
      <c r="BO57" s="956"/>
      <c r="BP57" s="956"/>
      <c r="BQ57" s="956"/>
      <c r="BR57" s="956"/>
      <c r="BS57" s="956"/>
      <c r="BT57" s="956"/>
      <c r="BU57" s="956"/>
      <c r="BV57" s="956"/>
      <c r="BW57" s="956"/>
      <c r="BX57" s="956"/>
      <c r="BY57" s="956"/>
      <c r="BZ57" s="956"/>
      <c r="CA57" s="956"/>
      <c r="CB57" s="956"/>
      <c r="CC57" s="956"/>
      <c r="CD57" s="956"/>
      <c r="CE57" s="956"/>
      <c r="CF57" s="956"/>
      <c r="CG57" s="956"/>
      <c r="CH57" s="956"/>
      <c r="CI57" s="956"/>
      <c r="CJ57" s="956"/>
      <c r="CK57" s="956"/>
      <c r="CL57" s="956"/>
      <c r="CM57" s="956"/>
      <c r="CN57" s="956"/>
      <c r="CO57" s="956"/>
      <c r="CP57" s="956"/>
      <c r="CQ57" s="956"/>
      <c r="CR57" s="956"/>
      <c r="CS57" s="956"/>
      <c r="CT57" s="956"/>
      <c r="CU57" s="956"/>
      <c r="CV57" s="956"/>
      <c r="CW57" s="956"/>
      <c r="CX57" s="961">
        <f>CY57+CZ57+DA57</f>
        <v>578.70000000000005</v>
      </c>
      <c r="CY57" s="961" t="str">
        <f>TEXT(AJ54,"#,###.0")</f>
        <v>253.6</v>
      </c>
      <c r="CZ57" s="961" t="str">
        <f>TEXT(AK55,"#,###.0")</f>
        <v>77.9</v>
      </c>
      <c r="DA57" s="962" t="str">
        <f>TEXT(AJ56,"#,###.0")</f>
        <v>247.2</v>
      </c>
      <c r="DB57" s="959"/>
    </row>
    <row r="58" spans="2:106" ht="11.25" customHeight="1">
      <c r="B58" s="960"/>
      <c r="C58" s="956"/>
      <c r="D58" s="956"/>
      <c r="E58" s="956"/>
      <c r="F58" s="956"/>
      <c r="G58" s="956"/>
      <c r="H58" s="956"/>
      <c r="I58" s="956"/>
      <c r="J58" s="956"/>
      <c r="K58" s="956"/>
      <c r="L58" s="956"/>
      <c r="M58" s="956"/>
      <c r="N58" s="956"/>
      <c r="O58" s="956"/>
      <c r="P58" s="956"/>
      <c r="Q58" s="956"/>
      <c r="R58" s="956"/>
      <c r="S58" s="956"/>
      <c r="T58" s="956"/>
      <c r="U58" s="956"/>
      <c r="V58" s="956"/>
      <c r="W58" s="956"/>
      <c r="X58" s="956"/>
      <c r="Y58" s="956"/>
      <c r="Z58" s="956"/>
      <c r="AA58" s="956"/>
      <c r="AB58" s="956"/>
      <c r="AC58" s="956"/>
      <c r="AD58" s="956"/>
      <c r="AE58" s="956"/>
      <c r="AF58" s="956"/>
      <c r="AG58" s="956"/>
      <c r="AH58" s="956"/>
      <c r="AI58" s="956"/>
      <c r="AJ58" s="956"/>
      <c r="AK58" s="956"/>
      <c r="AL58" s="956"/>
      <c r="AM58" s="956"/>
      <c r="AN58" s="956"/>
      <c r="AO58" s="956"/>
      <c r="AP58" s="956"/>
      <c r="AQ58" s="956"/>
      <c r="AR58" s="956"/>
      <c r="AS58" s="956"/>
      <c r="AT58" s="956"/>
      <c r="AU58" s="956"/>
      <c r="AV58" s="956"/>
      <c r="AW58" s="956"/>
      <c r="AX58" s="956"/>
      <c r="AY58" s="956"/>
      <c r="AZ58" s="956"/>
      <c r="BA58" s="956"/>
      <c r="BB58" s="956"/>
      <c r="BC58" s="956"/>
      <c r="BD58" s="956"/>
      <c r="BE58" s="956"/>
      <c r="BF58" s="956"/>
      <c r="BG58" s="956"/>
      <c r="BH58" s="956"/>
      <c r="BI58" s="956"/>
      <c r="BJ58" s="956"/>
      <c r="BK58" s="956"/>
      <c r="BL58" s="956"/>
      <c r="BM58" s="956"/>
      <c r="BN58" s="956"/>
      <c r="BO58" s="956"/>
      <c r="BP58" s="956"/>
      <c r="BQ58" s="956"/>
      <c r="BR58" s="956"/>
      <c r="BS58" s="956"/>
      <c r="BT58" s="956"/>
      <c r="BU58" s="956"/>
      <c r="BV58" s="956"/>
      <c r="BW58" s="956"/>
      <c r="BX58" s="956"/>
      <c r="BY58" s="956"/>
      <c r="BZ58" s="956"/>
      <c r="CA58" s="956"/>
      <c r="CB58" s="956"/>
      <c r="CC58" s="956"/>
      <c r="CD58" s="956"/>
      <c r="CE58" s="956"/>
      <c r="CF58" s="956"/>
      <c r="CG58" s="956"/>
      <c r="CH58" s="956"/>
      <c r="CI58" s="956"/>
      <c r="CJ58" s="956"/>
      <c r="CK58" s="956"/>
      <c r="CL58" s="956"/>
      <c r="CM58" s="956"/>
      <c r="CN58" s="956"/>
      <c r="CO58" s="956"/>
      <c r="CP58" s="956"/>
      <c r="CQ58" s="956"/>
      <c r="CR58" s="956"/>
      <c r="CS58" s="956"/>
      <c r="CT58" s="956"/>
      <c r="CU58" s="956"/>
      <c r="CV58" s="956"/>
      <c r="CW58" s="956"/>
      <c r="CX58" s="961"/>
      <c r="CY58" s="961"/>
      <c r="CZ58" s="961"/>
      <c r="DA58" s="962"/>
      <c r="DB58" s="959"/>
    </row>
    <row r="59" spans="2:106" ht="11.25" customHeight="1">
      <c r="B59" s="960"/>
      <c r="C59" s="956"/>
      <c r="D59" s="956"/>
      <c r="E59" s="956" t="s">
        <v>2625</v>
      </c>
      <c r="F59" s="956"/>
      <c r="G59" s="956" t="s">
        <v>2620</v>
      </c>
      <c r="H59" s="956"/>
      <c r="I59" s="956" t="s">
        <v>2663</v>
      </c>
      <c r="J59" s="956"/>
      <c r="K59" s="956"/>
      <c r="L59" s="956"/>
      <c r="M59" s="956"/>
      <c r="N59" s="956"/>
      <c r="O59" s="956"/>
      <c r="P59" s="956"/>
      <c r="Q59" s="956"/>
      <c r="R59" s="956"/>
      <c r="S59" s="956"/>
      <c r="T59" s="956"/>
      <c r="U59" s="956"/>
      <c r="V59" s="956"/>
      <c r="W59" s="956"/>
      <c r="X59" s="956"/>
      <c r="Y59" s="956"/>
      <c r="Z59" s="956"/>
      <c r="AA59" s="956"/>
      <c r="AB59" s="956"/>
      <c r="AC59" s="956"/>
      <c r="AD59" s="956"/>
      <c r="AE59" s="956"/>
      <c r="AF59" s="956" t="s">
        <v>2664</v>
      </c>
      <c r="AG59" s="956"/>
      <c r="AH59" s="956"/>
      <c r="AI59" s="956"/>
      <c r="AJ59" s="956"/>
      <c r="AK59" s="956"/>
      <c r="AL59" s="956"/>
      <c r="AM59" s="956"/>
      <c r="AN59" s="956"/>
      <c r="AO59" s="956"/>
      <c r="AP59" s="956"/>
      <c r="AQ59" s="956"/>
      <c r="AR59" s="956"/>
      <c r="AS59" s="956"/>
      <c r="AT59" s="956"/>
      <c r="AU59" s="956"/>
      <c r="AV59" s="956"/>
      <c r="AW59" s="956"/>
      <c r="AX59" s="956"/>
      <c r="AY59" s="956"/>
      <c r="AZ59" s="956"/>
      <c r="BA59" s="956"/>
      <c r="BB59" s="956"/>
      <c r="BC59" s="956"/>
      <c r="BD59" s="956"/>
      <c r="BE59" s="956"/>
      <c r="BF59" s="956"/>
      <c r="BG59" s="956"/>
      <c r="BH59" s="956"/>
      <c r="BI59" s="956"/>
      <c r="BJ59" s="956"/>
      <c r="BK59" s="956"/>
      <c r="BL59" s="956"/>
      <c r="BM59" s="956"/>
      <c r="BN59" s="956"/>
      <c r="BO59" s="956"/>
      <c r="BP59" s="956"/>
      <c r="BQ59" s="956"/>
      <c r="BR59" s="956"/>
      <c r="BS59" s="956"/>
      <c r="BT59" s="956"/>
      <c r="BU59" s="956"/>
      <c r="BV59" s="956"/>
      <c r="BW59" s="956"/>
      <c r="BX59" s="956"/>
      <c r="BY59" s="956"/>
      <c r="BZ59" s="956"/>
      <c r="CA59" s="956"/>
      <c r="CB59" s="956"/>
      <c r="CC59" s="956"/>
      <c r="CD59" s="956"/>
      <c r="CE59" s="956"/>
      <c r="CF59" s="956"/>
      <c r="CG59" s="956"/>
      <c r="CH59" s="956"/>
      <c r="CI59" s="956"/>
      <c r="CJ59" s="956"/>
      <c r="CK59" s="956"/>
      <c r="CL59" s="956"/>
      <c r="CM59" s="956"/>
      <c r="CN59" s="956"/>
      <c r="CO59" s="956"/>
      <c r="CP59" s="956"/>
      <c r="CQ59" s="956"/>
      <c r="CR59" s="956"/>
      <c r="CS59" s="956"/>
      <c r="CT59" s="956"/>
      <c r="CU59" s="956"/>
      <c r="CV59" s="956"/>
      <c r="CW59" s="956"/>
      <c r="CX59" s="961"/>
      <c r="CY59" s="961"/>
      <c r="CZ59" s="961"/>
      <c r="DA59" s="962"/>
      <c r="DB59" s="959"/>
    </row>
    <row r="60" spans="2:106" ht="11.25" customHeight="1">
      <c r="B60" s="960"/>
      <c r="C60" s="956"/>
      <c r="D60" s="956"/>
      <c r="E60" s="956"/>
      <c r="F60" s="956"/>
      <c r="G60" s="956"/>
      <c r="H60" s="956"/>
      <c r="I60" s="956"/>
      <c r="J60" s="956"/>
      <c r="K60" s="956"/>
      <c r="L60" s="956"/>
      <c r="M60" s="956"/>
      <c r="N60" s="956"/>
      <c r="O60" s="956"/>
      <c r="P60" s="956"/>
      <c r="Q60" s="956"/>
      <c r="R60" s="956"/>
      <c r="S60" s="956"/>
      <c r="T60" s="956"/>
      <c r="U60" s="956"/>
      <c r="V60" s="956"/>
      <c r="W60" s="956"/>
      <c r="X60" s="956"/>
      <c r="Y60" s="956"/>
      <c r="Z60" s="956"/>
      <c r="AA60" s="956"/>
      <c r="AB60" s="956"/>
      <c r="AC60" s="956"/>
      <c r="AD60" s="956"/>
      <c r="AE60" s="956"/>
      <c r="AF60" s="956"/>
      <c r="AG60" s="956"/>
      <c r="AH60" s="956"/>
      <c r="AI60" s="956"/>
      <c r="AJ60" s="956"/>
      <c r="AK60" s="956"/>
      <c r="AL60" s="956"/>
      <c r="AM60" s="956"/>
      <c r="AN60" s="956"/>
      <c r="AO60" s="956"/>
      <c r="AP60" s="956"/>
      <c r="AQ60" s="956"/>
      <c r="AR60" s="956"/>
      <c r="AS60" s="956"/>
      <c r="AT60" s="956"/>
      <c r="AU60" s="956"/>
      <c r="AV60" s="956"/>
      <c r="AW60" s="956"/>
      <c r="AX60" s="956"/>
      <c r="AY60" s="956"/>
      <c r="AZ60" s="956"/>
      <c r="BA60" s="956"/>
      <c r="BB60" s="956"/>
      <c r="BC60" s="956"/>
      <c r="BD60" s="956"/>
      <c r="BE60" s="956"/>
      <c r="BF60" s="956"/>
      <c r="BG60" s="956"/>
      <c r="BH60" s="956"/>
      <c r="BI60" s="956"/>
      <c r="BJ60" s="956"/>
      <c r="BK60" s="956"/>
      <c r="BL60" s="956"/>
      <c r="BM60" s="956"/>
      <c r="BN60" s="956"/>
      <c r="BO60" s="956"/>
      <c r="BP60" s="956"/>
      <c r="BQ60" s="956"/>
      <c r="BR60" s="956"/>
      <c r="BS60" s="956"/>
      <c r="BT60" s="956"/>
      <c r="BU60" s="956"/>
      <c r="BV60" s="956"/>
      <c r="BW60" s="956"/>
      <c r="BX60" s="956"/>
      <c r="BY60" s="956"/>
      <c r="BZ60" s="956"/>
      <c r="CA60" s="956"/>
      <c r="CB60" s="956"/>
      <c r="CC60" s="956"/>
      <c r="CD60" s="956"/>
      <c r="CE60" s="956"/>
      <c r="CF60" s="956"/>
      <c r="CG60" s="956"/>
      <c r="CH60" s="956"/>
      <c r="CI60" s="956"/>
      <c r="CJ60" s="956"/>
      <c r="CK60" s="956"/>
      <c r="CL60" s="956"/>
      <c r="CM60" s="956"/>
      <c r="CN60" s="956"/>
      <c r="CO60" s="956"/>
      <c r="CP60" s="956"/>
      <c r="CQ60" s="956"/>
      <c r="CR60" s="956"/>
      <c r="CS60" s="956"/>
      <c r="CT60" s="956"/>
      <c r="CU60" s="956"/>
      <c r="CV60" s="956"/>
      <c r="CW60" s="956"/>
      <c r="CX60" s="961"/>
      <c r="CY60" s="961"/>
      <c r="CZ60" s="961"/>
      <c r="DA60" s="962"/>
      <c r="DB60" s="959"/>
    </row>
    <row r="61" spans="2:106" ht="11.25" customHeight="1">
      <c r="B61" s="960"/>
      <c r="C61" s="956"/>
      <c r="D61" s="956"/>
      <c r="E61" s="956"/>
      <c r="F61" s="956"/>
      <c r="G61" s="956" t="s">
        <v>1168</v>
      </c>
      <c r="H61" s="956"/>
      <c r="I61" s="956"/>
      <c r="J61" s="956"/>
      <c r="K61" s="956"/>
      <c r="L61" s="956"/>
      <c r="M61" s="956"/>
      <c r="N61" s="956" t="s">
        <v>2606</v>
      </c>
      <c r="O61" s="956"/>
      <c r="P61" s="956" t="str">
        <f>TEXT([9]기계경비총괄표!G19,"#,##0")</f>
        <v>57,077</v>
      </c>
      <c r="Q61" s="956"/>
      <c r="R61" s="956"/>
      <c r="S61" s="956"/>
      <c r="T61" s="956"/>
      <c r="U61" s="956"/>
      <c r="V61" s="956"/>
      <c r="W61" s="956"/>
      <c r="X61" s="956"/>
      <c r="Y61" s="956" t="s">
        <v>2607</v>
      </c>
      <c r="Z61" s="956"/>
      <c r="AA61" s="956"/>
      <c r="AB61" s="956" t="str">
        <f>TEXT(BB13,"#,##0.#######")</f>
        <v>225.</v>
      </c>
      <c r="AC61" s="956"/>
      <c r="AD61" s="956"/>
      <c r="AE61" s="956"/>
      <c r="AF61" s="956"/>
      <c r="AG61" s="956"/>
      <c r="AH61" s="956" t="s">
        <v>1167</v>
      </c>
      <c r="AI61" s="956"/>
      <c r="AJ61" s="956" t="str">
        <f>TEXT(TRUNC(P61/BB13,1),"#,##0.#")</f>
        <v>253.6</v>
      </c>
      <c r="AK61" s="956"/>
      <c r="AL61" s="956"/>
      <c r="AM61" s="956"/>
      <c r="AN61" s="956"/>
      <c r="AO61" s="956"/>
      <c r="AP61" s="956"/>
      <c r="AQ61" s="956"/>
      <c r="AR61" s="956"/>
      <c r="AS61" s="956"/>
      <c r="AT61" s="956"/>
      <c r="AU61" s="956"/>
      <c r="AV61" s="956"/>
      <c r="AW61" s="956"/>
      <c r="AX61" s="956"/>
      <c r="AY61" s="956"/>
      <c r="AZ61" s="956"/>
      <c r="BA61" s="956"/>
      <c r="BB61" s="956"/>
      <c r="BC61" s="956"/>
      <c r="BD61" s="956"/>
      <c r="BE61" s="956"/>
      <c r="BF61" s="956"/>
      <c r="BG61" s="956"/>
      <c r="BH61" s="956"/>
      <c r="BI61" s="956"/>
      <c r="BJ61" s="956"/>
      <c r="BK61" s="956"/>
      <c r="BL61" s="956"/>
      <c r="BM61" s="956"/>
      <c r="BN61" s="956"/>
      <c r="BO61" s="956"/>
      <c r="BP61" s="956"/>
      <c r="BQ61" s="956"/>
      <c r="BR61" s="956"/>
      <c r="BS61" s="956"/>
      <c r="BT61" s="956"/>
      <c r="BU61" s="956"/>
      <c r="BV61" s="956"/>
      <c r="BW61" s="956"/>
      <c r="BX61" s="956"/>
      <c r="BY61" s="956"/>
      <c r="BZ61" s="956"/>
      <c r="CA61" s="956"/>
      <c r="CB61" s="956"/>
      <c r="CC61" s="956"/>
      <c r="CD61" s="956"/>
      <c r="CE61" s="956"/>
      <c r="CF61" s="956"/>
      <c r="CG61" s="956"/>
      <c r="CH61" s="956"/>
      <c r="CI61" s="956"/>
      <c r="CJ61" s="956"/>
      <c r="CK61" s="956"/>
      <c r="CL61" s="956"/>
      <c r="CM61" s="956"/>
      <c r="CN61" s="956"/>
      <c r="CO61" s="956"/>
      <c r="CP61" s="956"/>
      <c r="CQ61" s="956"/>
      <c r="CR61" s="956"/>
      <c r="CS61" s="956"/>
      <c r="CT61" s="956"/>
      <c r="CU61" s="956"/>
      <c r="CV61" s="956"/>
      <c r="CW61" s="956"/>
      <c r="CX61" s="961"/>
      <c r="CY61" s="961"/>
      <c r="CZ61" s="961"/>
      <c r="DA61" s="962"/>
      <c r="DB61" s="959"/>
    </row>
    <row r="62" spans="2:106" ht="11.25" customHeight="1">
      <c r="B62" s="960"/>
      <c r="C62" s="956"/>
      <c r="D62" s="956"/>
      <c r="E62" s="956"/>
      <c r="F62" s="956"/>
      <c r="G62" s="956" t="s">
        <v>1169</v>
      </c>
      <c r="H62" s="956"/>
      <c r="I62" s="956"/>
      <c r="J62" s="956"/>
      <c r="K62" s="956"/>
      <c r="L62" s="956"/>
      <c r="M62" s="956"/>
      <c r="N62" s="956" t="s">
        <v>2606</v>
      </c>
      <c r="O62" s="956"/>
      <c r="P62" s="956" t="str">
        <f>TEXT([9]기계경비총괄표!H19,"#,##0")</f>
        <v>13,838</v>
      </c>
      <c r="Q62" s="956"/>
      <c r="R62" s="956"/>
      <c r="S62" s="956"/>
      <c r="T62" s="956"/>
      <c r="U62" s="956"/>
      <c r="V62" s="956"/>
      <c r="W62" s="956"/>
      <c r="X62" s="956"/>
      <c r="Y62" s="956" t="s">
        <v>2607</v>
      </c>
      <c r="Z62" s="956"/>
      <c r="AA62" s="956"/>
      <c r="AB62" s="956" t="str">
        <f>TEXT(BB13,"#,##0.#######")</f>
        <v>225.</v>
      </c>
      <c r="AC62" s="956"/>
      <c r="AD62" s="956"/>
      <c r="AE62" s="956"/>
      <c r="AF62" s="956"/>
      <c r="AG62" s="956"/>
      <c r="AH62" s="956" t="s">
        <v>1167</v>
      </c>
      <c r="AI62" s="956"/>
      <c r="AJ62" s="956"/>
      <c r="AK62" s="956" t="str">
        <f>TEXT(TRUNC(P62/BB13,1),"#,##0.#")</f>
        <v>61.5</v>
      </c>
      <c r="AL62" s="956"/>
      <c r="AM62" s="956"/>
      <c r="AN62" s="956"/>
      <c r="AO62" s="956"/>
      <c r="AP62" s="956"/>
      <c r="AQ62" s="956"/>
      <c r="AR62" s="956"/>
      <c r="AS62" s="956"/>
      <c r="AT62" s="956"/>
      <c r="AU62" s="956"/>
      <c r="AV62" s="956"/>
      <c r="AW62" s="956"/>
      <c r="AX62" s="956"/>
      <c r="AY62" s="956"/>
      <c r="AZ62" s="956"/>
      <c r="BA62" s="956"/>
      <c r="BB62" s="956"/>
      <c r="BC62" s="956"/>
      <c r="BD62" s="956"/>
      <c r="BE62" s="956"/>
      <c r="BF62" s="956"/>
      <c r="BG62" s="956"/>
      <c r="BH62" s="956"/>
      <c r="BI62" s="956"/>
      <c r="BJ62" s="956"/>
      <c r="BK62" s="956"/>
      <c r="BL62" s="956"/>
      <c r="BM62" s="956"/>
      <c r="BN62" s="956"/>
      <c r="BO62" s="956"/>
      <c r="BP62" s="956"/>
      <c r="BQ62" s="956"/>
      <c r="BR62" s="956"/>
      <c r="BS62" s="956"/>
      <c r="BT62" s="956"/>
      <c r="BU62" s="956"/>
      <c r="BV62" s="956"/>
      <c r="BW62" s="956"/>
      <c r="BX62" s="956"/>
      <c r="BY62" s="956"/>
      <c r="BZ62" s="956"/>
      <c r="CA62" s="956"/>
      <c r="CB62" s="956"/>
      <c r="CC62" s="956"/>
      <c r="CD62" s="956"/>
      <c r="CE62" s="956"/>
      <c r="CF62" s="956"/>
      <c r="CG62" s="956"/>
      <c r="CH62" s="956"/>
      <c r="CI62" s="956"/>
      <c r="CJ62" s="956"/>
      <c r="CK62" s="956"/>
      <c r="CL62" s="956"/>
      <c r="CM62" s="956"/>
      <c r="CN62" s="956"/>
      <c r="CO62" s="956"/>
      <c r="CP62" s="956"/>
      <c r="CQ62" s="956"/>
      <c r="CR62" s="956"/>
      <c r="CS62" s="956"/>
      <c r="CT62" s="956"/>
      <c r="CU62" s="956"/>
      <c r="CV62" s="956"/>
      <c r="CW62" s="956"/>
      <c r="CX62" s="961"/>
      <c r="CY62" s="961"/>
      <c r="CZ62" s="961"/>
      <c r="DA62" s="962"/>
      <c r="DB62" s="959"/>
    </row>
    <row r="63" spans="2:106" ht="11.25" customHeight="1">
      <c r="B63" s="960"/>
      <c r="C63" s="956"/>
      <c r="D63" s="956"/>
      <c r="E63" s="956"/>
      <c r="F63" s="956"/>
      <c r="G63" s="956" t="s">
        <v>2608</v>
      </c>
      <c r="H63" s="956"/>
      <c r="I63" s="956"/>
      <c r="J63" s="956"/>
      <c r="K63" s="956" t="s">
        <v>2609</v>
      </c>
      <c r="L63" s="956"/>
      <c r="M63" s="956"/>
      <c r="N63" s="956" t="s">
        <v>2606</v>
      </c>
      <c r="O63" s="956"/>
      <c r="P63" s="956" t="str">
        <f>TEXT([9]기계경비총괄표!I19,"#,##0")</f>
        <v>12,390</v>
      </c>
      <c r="Q63" s="956"/>
      <c r="R63" s="956"/>
      <c r="S63" s="956"/>
      <c r="T63" s="956"/>
      <c r="U63" s="956"/>
      <c r="V63" s="956"/>
      <c r="W63" s="956"/>
      <c r="X63" s="956"/>
      <c r="Y63" s="956" t="s">
        <v>2607</v>
      </c>
      <c r="Z63" s="956"/>
      <c r="AA63" s="956"/>
      <c r="AB63" s="956" t="str">
        <f>TEXT(BB13,"#,##0.#######")</f>
        <v>225.</v>
      </c>
      <c r="AC63" s="956"/>
      <c r="AD63" s="956"/>
      <c r="AE63" s="956"/>
      <c r="AF63" s="956"/>
      <c r="AG63" s="956"/>
      <c r="AH63" s="956" t="s">
        <v>1167</v>
      </c>
      <c r="AI63" s="956"/>
      <c r="AJ63" s="956"/>
      <c r="AK63" s="956" t="str">
        <f>TEXT(TRUNC(P63/BB13,1),"#,##0.#")</f>
        <v>55.</v>
      </c>
      <c r="AL63" s="956"/>
      <c r="AM63" s="956"/>
      <c r="AN63" s="956"/>
      <c r="AO63" s="956"/>
      <c r="AP63" s="956"/>
      <c r="AQ63" s="956"/>
      <c r="AR63" s="956"/>
      <c r="AS63" s="956"/>
      <c r="AT63" s="956"/>
      <c r="AU63" s="956"/>
      <c r="AV63" s="956"/>
      <c r="AW63" s="956"/>
      <c r="AX63" s="956"/>
      <c r="AY63" s="956"/>
      <c r="AZ63" s="956"/>
      <c r="BA63" s="956"/>
      <c r="BB63" s="956"/>
      <c r="BC63" s="956"/>
      <c r="BD63" s="956"/>
      <c r="BE63" s="956"/>
      <c r="BF63" s="956"/>
      <c r="BG63" s="956"/>
      <c r="BH63" s="956"/>
      <c r="BI63" s="956"/>
      <c r="BJ63" s="956"/>
      <c r="BK63" s="956"/>
      <c r="BL63" s="956"/>
      <c r="BM63" s="956"/>
      <c r="BN63" s="956"/>
      <c r="BO63" s="956"/>
      <c r="BP63" s="956"/>
      <c r="BQ63" s="956"/>
      <c r="BR63" s="956"/>
      <c r="BS63" s="956"/>
      <c r="BT63" s="956"/>
      <c r="BU63" s="956"/>
      <c r="BV63" s="956"/>
      <c r="BW63" s="956"/>
      <c r="BX63" s="956"/>
      <c r="BY63" s="956"/>
      <c r="BZ63" s="956"/>
      <c r="CA63" s="956"/>
      <c r="CB63" s="956"/>
      <c r="CC63" s="956"/>
      <c r="CD63" s="956"/>
      <c r="CE63" s="956"/>
      <c r="CF63" s="956"/>
      <c r="CG63" s="956"/>
      <c r="CH63" s="956"/>
      <c r="CI63" s="956"/>
      <c r="CJ63" s="956"/>
      <c r="CK63" s="956"/>
      <c r="CL63" s="956"/>
      <c r="CM63" s="956"/>
      <c r="CN63" s="956"/>
      <c r="CO63" s="956"/>
      <c r="CP63" s="956"/>
      <c r="CQ63" s="956"/>
      <c r="CR63" s="956"/>
      <c r="CS63" s="956"/>
      <c r="CT63" s="956"/>
      <c r="CU63" s="956"/>
      <c r="CV63" s="956"/>
      <c r="CW63" s="956"/>
      <c r="CX63" s="961"/>
      <c r="CY63" s="961"/>
      <c r="CZ63" s="961"/>
      <c r="DA63" s="962"/>
      <c r="DB63" s="959"/>
    </row>
    <row r="64" spans="2:106" ht="11.25" customHeight="1">
      <c r="B64" s="960"/>
      <c r="C64" s="956"/>
      <c r="D64" s="956"/>
      <c r="E64" s="956"/>
      <c r="F64" s="956"/>
      <c r="G64" s="956" t="s">
        <v>2610</v>
      </c>
      <c r="H64" s="956"/>
      <c r="I64" s="956"/>
      <c r="J64" s="956"/>
      <c r="K64" s="956" t="s">
        <v>617</v>
      </c>
      <c r="L64" s="956"/>
      <c r="M64" s="956"/>
      <c r="N64" s="956" t="s">
        <v>2606</v>
      </c>
      <c r="O64" s="956"/>
      <c r="P64" s="956"/>
      <c r="Q64" s="956"/>
      <c r="R64" s="956"/>
      <c r="S64" s="956"/>
      <c r="T64" s="956"/>
      <c r="U64" s="956"/>
      <c r="V64" s="956"/>
      <c r="W64" s="956"/>
      <c r="X64" s="956"/>
      <c r="Y64" s="956"/>
      <c r="Z64" s="956"/>
      <c r="AA64" s="956"/>
      <c r="AB64" s="956"/>
      <c r="AC64" s="956"/>
      <c r="AD64" s="956"/>
      <c r="AE64" s="956"/>
      <c r="AF64" s="956" t="str">
        <f>TEXT(AJ61+AK62+AK63,"#,##0.#######")</f>
        <v>370.1</v>
      </c>
      <c r="AG64" s="956"/>
      <c r="AH64" s="956"/>
      <c r="AI64" s="956"/>
      <c r="AJ64" s="956"/>
      <c r="AK64" s="956"/>
      <c r="AL64" s="956"/>
      <c r="AM64" s="956"/>
      <c r="AN64" s="956"/>
      <c r="AO64" s="956"/>
      <c r="AP64" s="956"/>
      <c r="AQ64" s="956"/>
      <c r="AR64" s="956"/>
      <c r="AS64" s="956"/>
      <c r="AT64" s="956"/>
      <c r="AU64" s="956"/>
      <c r="AV64" s="956"/>
      <c r="AW64" s="956"/>
      <c r="AX64" s="956"/>
      <c r="AY64" s="956"/>
      <c r="AZ64" s="956"/>
      <c r="BA64" s="956"/>
      <c r="BB64" s="956"/>
      <c r="BC64" s="956"/>
      <c r="BD64" s="956"/>
      <c r="BE64" s="956"/>
      <c r="BF64" s="956"/>
      <c r="BG64" s="956"/>
      <c r="BH64" s="956"/>
      <c r="BI64" s="956"/>
      <c r="BJ64" s="956"/>
      <c r="BK64" s="956"/>
      <c r="BL64" s="956"/>
      <c r="BM64" s="956"/>
      <c r="BN64" s="956"/>
      <c r="BO64" s="956"/>
      <c r="BP64" s="956"/>
      <c r="BQ64" s="956"/>
      <c r="BR64" s="956"/>
      <c r="BS64" s="956"/>
      <c r="BT64" s="956"/>
      <c r="BU64" s="956"/>
      <c r="BV64" s="956"/>
      <c r="BW64" s="956"/>
      <c r="BX64" s="956"/>
      <c r="BY64" s="956"/>
      <c r="BZ64" s="956"/>
      <c r="CA64" s="956"/>
      <c r="CB64" s="956"/>
      <c r="CC64" s="956"/>
      <c r="CD64" s="956"/>
      <c r="CE64" s="956"/>
      <c r="CF64" s="956"/>
      <c r="CG64" s="956"/>
      <c r="CH64" s="956"/>
      <c r="CI64" s="956"/>
      <c r="CJ64" s="956"/>
      <c r="CK64" s="956"/>
      <c r="CL64" s="956"/>
      <c r="CM64" s="956"/>
      <c r="CN64" s="956"/>
      <c r="CO64" s="956"/>
      <c r="CP64" s="956"/>
      <c r="CQ64" s="956"/>
      <c r="CR64" s="956"/>
      <c r="CS64" s="956"/>
      <c r="CT64" s="956"/>
      <c r="CU64" s="956"/>
      <c r="CV64" s="956"/>
      <c r="CW64" s="956"/>
      <c r="CX64" s="961">
        <f>CY64+CZ64+DA64</f>
        <v>370.1</v>
      </c>
      <c r="CY64" s="961" t="str">
        <f>TEXT(AJ61,"#,###.0")</f>
        <v>253.6</v>
      </c>
      <c r="CZ64" s="961" t="str">
        <f>TEXT(AK62,"#,###.0")</f>
        <v>61.5</v>
      </c>
      <c r="DA64" s="962" t="str">
        <f>TEXT(AK63,"#,###.0")</f>
        <v>55.0</v>
      </c>
      <c r="DB64" s="959"/>
    </row>
    <row r="65" spans="2:106" ht="11.25" customHeight="1">
      <c r="B65" s="960"/>
      <c r="C65" s="956"/>
      <c r="D65" s="956"/>
      <c r="E65" s="956"/>
      <c r="F65" s="956"/>
      <c r="G65" s="956"/>
      <c r="H65" s="956"/>
      <c r="I65" s="956"/>
      <c r="J65" s="956"/>
      <c r="K65" s="956"/>
      <c r="L65" s="956"/>
      <c r="M65" s="956"/>
      <c r="N65" s="956"/>
      <c r="O65" s="956"/>
      <c r="P65" s="956"/>
      <c r="Q65" s="956"/>
      <c r="R65" s="956"/>
      <c r="S65" s="956"/>
      <c r="T65" s="956"/>
      <c r="U65" s="956"/>
      <c r="V65" s="956"/>
      <c r="W65" s="956"/>
      <c r="X65" s="956"/>
      <c r="Y65" s="956"/>
      <c r="Z65" s="956"/>
      <c r="AA65" s="956"/>
      <c r="AB65" s="956"/>
      <c r="AC65" s="956"/>
      <c r="AD65" s="956"/>
      <c r="AE65" s="956"/>
      <c r="AF65" s="956"/>
      <c r="AG65" s="956"/>
      <c r="AH65" s="956"/>
      <c r="AI65" s="956"/>
      <c r="AJ65" s="956"/>
      <c r="AK65" s="956"/>
      <c r="AL65" s="956"/>
      <c r="AM65" s="956"/>
      <c r="AN65" s="956"/>
      <c r="AO65" s="956"/>
      <c r="AP65" s="956"/>
      <c r="AQ65" s="956"/>
      <c r="AR65" s="956"/>
      <c r="AS65" s="956"/>
      <c r="AT65" s="956"/>
      <c r="AU65" s="956"/>
      <c r="AV65" s="956"/>
      <c r="AW65" s="956"/>
      <c r="AX65" s="956"/>
      <c r="AY65" s="956"/>
      <c r="AZ65" s="956"/>
      <c r="BA65" s="956"/>
      <c r="BB65" s="956"/>
      <c r="BC65" s="956"/>
      <c r="BD65" s="956"/>
      <c r="BE65" s="956"/>
      <c r="BF65" s="956"/>
      <c r="BG65" s="956"/>
      <c r="BH65" s="956"/>
      <c r="BI65" s="956"/>
      <c r="BJ65" s="956"/>
      <c r="BK65" s="956"/>
      <c r="BL65" s="956"/>
      <c r="BM65" s="956"/>
      <c r="BN65" s="956"/>
      <c r="BO65" s="956"/>
      <c r="BP65" s="956"/>
      <c r="BQ65" s="956"/>
      <c r="BR65" s="956"/>
      <c r="BS65" s="956"/>
      <c r="BT65" s="956"/>
      <c r="BU65" s="956"/>
      <c r="BV65" s="956"/>
      <c r="BW65" s="956"/>
      <c r="BX65" s="956"/>
      <c r="BY65" s="956"/>
      <c r="BZ65" s="956"/>
      <c r="CA65" s="956"/>
      <c r="CB65" s="956"/>
      <c r="CC65" s="956"/>
      <c r="CD65" s="956"/>
      <c r="CE65" s="956"/>
      <c r="CF65" s="956"/>
      <c r="CG65" s="956"/>
      <c r="CH65" s="956"/>
      <c r="CI65" s="956"/>
      <c r="CJ65" s="956"/>
      <c r="CK65" s="956"/>
      <c r="CL65" s="956"/>
      <c r="CM65" s="956"/>
      <c r="CN65" s="956"/>
      <c r="CO65" s="956"/>
      <c r="CP65" s="956"/>
      <c r="CQ65" s="956"/>
      <c r="CR65" s="956"/>
      <c r="CS65" s="956"/>
      <c r="CT65" s="956"/>
      <c r="CU65" s="956"/>
      <c r="CV65" s="956"/>
      <c r="CW65" s="956"/>
      <c r="CX65" s="961"/>
      <c r="CY65" s="961"/>
      <c r="CZ65" s="961"/>
      <c r="DA65" s="962"/>
      <c r="DB65" s="959"/>
    </row>
    <row r="66" spans="2:106" ht="11.25" customHeight="1">
      <c r="B66" s="960"/>
      <c r="C66" s="956"/>
      <c r="D66" s="956"/>
      <c r="E66" s="956" t="s">
        <v>2665</v>
      </c>
      <c r="F66" s="956"/>
      <c r="G66" s="956" t="s">
        <v>2620</v>
      </c>
      <c r="H66" s="956"/>
      <c r="I66" s="956" t="s">
        <v>2666</v>
      </c>
      <c r="J66" s="956"/>
      <c r="K66" s="956"/>
      <c r="L66" s="956"/>
      <c r="M66" s="956"/>
      <c r="N66" s="956"/>
      <c r="O66" s="956"/>
      <c r="P66" s="956"/>
      <c r="Q66" s="956"/>
      <c r="R66" s="956"/>
      <c r="S66" s="956"/>
      <c r="T66" s="956"/>
      <c r="U66" s="956"/>
      <c r="V66" s="956"/>
      <c r="W66" s="956"/>
      <c r="X66" s="956"/>
      <c r="Y66" s="956"/>
      <c r="Z66" s="956"/>
      <c r="AA66" s="956"/>
      <c r="AB66" s="956"/>
      <c r="AC66" s="956"/>
      <c r="AD66" s="956"/>
      <c r="AE66" s="956"/>
      <c r="AF66" s="956" t="s">
        <v>2667</v>
      </c>
      <c r="AG66" s="956"/>
      <c r="AH66" s="956"/>
      <c r="AI66" s="956"/>
      <c r="AJ66" s="956"/>
      <c r="AK66" s="956"/>
      <c r="AL66" s="956"/>
      <c r="AM66" s="956"/>
      <c r="AN66" s="956"/>
      <c r="AO66" s="956"/>
      <c r="AP66" s="956"/>
      <c r="AQ66" s="956"/>
      <c r="AR66" s="956"/>
      <c r="AS66" s="956"/>
      <c r="AT66" s="956"/>
      <c r="AU66" s="956"/>
      <c r="AV66" s="956"/>
      <c r="AW66" s="956"/>
      <c r="AX66" s="956"/>
      <c r="AY66" s="956"/>
      <c r="AZ66" s="956"/>
      <c r="BA66" s="956"/>
      <c r="BB66" s="956"/>
      <c r="BC66" s="956"/>
      <c r="BD66" s="956"/>
      <c r="BE66" s="956"/>
      <c r="BF66" s="956"/>
      <c r="BG66" s="956"/>
      <c r="BH66" s="956"/>
      <c r="BI66" s="956"/>
      <c r="BJ66" s="956"/>
      <c r="BK66" s="956"/>
      <c r="BL66" s="956"/>
      <c r="BM66" s="956"/>
      <c r="BN66" s="956"/>
      <c r="BO66" s="956"/>
      <c r="BP66" s="956"/>
      <c r="BQ66" s="956"/>
      <c r="BR66" s="956"/>
      <c r="BS66" s="956"/>
      <c r="BT66" s="956"/>
      <c r="BU66" s="956"/>
      <c r="BV66" s="956"/>
      <c r="BW66" s="956"/>
      <c r="BX66" s="956"/>
      <c r="BY66" s="956"/>
      <c r="BZ66" s="956"/>
      <c r="CA66" s="956"/>
      <c r="CB66" s="956"/>
      <c r="CC66" s="956"/>
      <c r="CD66" s="956"/>
      <c r="CE66" s="956"/>
      <c r="CF66" s="956"/>
      <c r="CG66" s="956"/>
      <c r="CH66" s="956"/>
      <c r="CI66" s="956"/>
      <c r="CJ66" s="956"/>
      <c r="CK66" s="956"/>
      <c r="CL66" s="956"/>
      <c r="CM66" s="956"/>
      <c r="CN66" s="956"/>
      <c r="CO66" s="956"/>
      <c r="CP66" s="956"/>
      <c r="CQ66" s="956"/>
      <c r="CR66" s="956"/>
      <c r="CS66" s="956"/>
      <c r="CT66" s="956"/>
      <c r="CU66" s="956"/>
      <c r="CV66" s="956"/>
      <c r="CW66" s="956"/>
      <c r="CX66" s="961"/>
      <c r="CY66" s="961"/>
      <c r="CZ66" s="961"/>
      <c r="DA66" s="962"/>
      <c r="DB66" s="959"/>
    </row>
    <row r="67" spans="2:106" ht="11.25" customHeight="1">
      <c r="B67" s="960"/>
      <c r="C67" s="956"/>
      <c r="D67" s="956"/>
      <c r="E67" s="956"/>
      <c r="F67" s="956"/>
      <c r="G67" s="956"/>
      <c r="H67" s="956"/>
      <c r="I67" s="956"/>
      <c r="J67" s="956"/>
      <c r="K67" s="956"/>
      <c r="L67" s="956"/>
      <c r="M67" s="956"/>
      <c r="N67" s="956"/>
      <c r="O67" s="956"/>
      <c r="P67" s="956"/>
      <c r="Q67" s="956"/>
      <c r="R67" s="956"/>
      <c r="S67" s="956"/>
      <c r="T67" s="956"/>
      <c r="U67" s="956"/>
      <c r="V67" s="956"/>
      <c r="W67" s="956"/>
      <c r="X67" s="956"/>
      <c r="Y67" s="956"/>
      <c r="Z67" s="956"/>
      <c r="AA67" s="956"/>
      <c r="AB67" s="956"/>
      <c r="AC67" s="956"/>
      <c r="AD67" s="956"/>
      <c r="AE67" s="956"/>
      <c r="AF67" s="956"/>
      <c r="AG67" s="956"/>
      <c r="AH67" s="956"/>
      <c r="AI67" s="956"/>
      <c r="AJ67" s="956"/>
      <c r="AK67" s="956"/>
      <c r="AL67" s="956"/>
      <c r="AM67" s="956"/>
      <c r="AN67" s="956"/>
      <c r="AO67" s="956"/>
      <c r="AP67" s="956"/>
      <c r="AQ67" s="956"/>
      <c r="AR67" s="956"/>
      <c r="AS67" s="956"/>
      <c r="AT67" s="956"/>
      <c r="AU67" s="956"/>
      <c r="AV67" s="956"/>
      <c r="AW67" s="956"/>
      <c r="AX67" s="956"/>
      <c r="AY67" s="956"/>
      <c r="AZ67" s="956"/>
      <c r="BA67" s="956"/>
      <c r="BB67" s="956"/>
      <c r="BC67" s="956"/>
      <c r="BD67" s="956"/>
      <c r="BE67" s="956"/>
      <c r="BF67" s="956"/>
      <c r="BG67" s="956"/>
      <c r="BH67" s="956"/>
      <c r="BI67" s="956"/>
      <c r="BJ67" s="956"/>
      <c r="BK67" s="956"/>
      <c r="BL67" s="956"/>
      <c r="BM67" s="956"/>
      <c r="BN67" s="956"/>
      <c r="BO67" s="956"/>
      <c r="BP67" s="956"/>
      <c r="BQ67" s="956"/>
      <c r="BR67" s="956"/>
      <c r="BS67" s="956"/>
      <c r="BT67" s="956"/>
      <c r="BU67" s="956"/>
      <c r="BV67" s="956"/>
      <c r="BW67" s="956"/>
      <c r="BX67" s="956"/>
      <c r="BY67" s="956"/>
      <c r="BZ67" s="956"/>
      <c r="CA67" s="956"/>
      <c r="CB67" s="956"/>
      <c r="CC67" s="956"/>
      <c r="CD67" s="956"/>
      <c r="CE67" s="956"/>
      <c r="CF67" s="956"/>
      <c r="CG67" s="956"/>
      <c r="CH67" s="956"/>
      <c r="CI67" s="956"/>
      <c r="CJ67" s="956"/>
      <c r="CK67" s="956"/>
      <c r="CL67" s="956"/>
      <c r="CM67" s="956"/>
      <c r="CN67" s="956"/>
      <c r="CO67" s="956"/>
      <c r="CP67" s="956"/>
      <c r="CQ67" s="956"/>
      <c r="CR67" s="956"/>
      <c r="CS67" s="956"/>
      <c r="CT67" s="956"/>
      <c r="CU67" s="956"/>
      <c r="CV67" s="956"/>
      <c r="CW67" s="956"/>
      <c r="CX67" s="961"/>
      <c r="CY67" s="961"/>
      <c r="CZ67" s="961"/>
      <c r="DA67" s="962"/>
      <c r="DB67" s="959"/>
    </row>
    <row r="68" spans="2:106" ht="11.25" customHeight="1">
      <c r="B68" s="960"/>
      <c r="C68" s="956"/>
      <c r="D68" s="956"/>
      <c r="E68" s="956"/>
      <c r="F68" s="956"/>
      <c r="G68" s="956" t="s">
        <v>1168</v>
      </c>
      <c r="H68" s="956"/>
      <c r="I68" s="956"/>
      <c r="J68" s="956"/>
      <c r="K68" s="956"/>
      <c r="L68" s="956"/>
      <c r="M68" s="956"/>
      <c r="N68" s="956" t="s">
        <v>2606</v>
      </c>
      <c r="O68" s="956"/>
      <c r="P68" s="956" t="str">
        <f>TEXT([9]기계경비총괄표!G20,"#,##0")</f>
        <v>57,077</v>
      </c>
      <c r="Q68" s="956"/>
      <c r="R68" s="956"/>
      <c r="S68" s="956"/>
      <c r="T68" s="956"/>
      <c r="U68" s="956"/>
      <c r="V68" s="956"/>
      <c r="W68" s="956"/>
      <c r="X68" s="956"/>
      <c r="Y68" s="956" t="s">
        <v>2607</v>
      </c>
      <c r="Z68" s="956"/>
      <c r="AA68" s="956"/>
      <c r="AB68" s="956" t="str">
        <f>TEXT(BB13,"#,##0.#######")</f>
        <v>225.</v>
      </c>
      <c r="AC68" s="956"/>
      <c r="AD68" s="956"/>
      <c r="AE68" s="956"/>
      <c r="AF68" s="956"/>
      <c r="AG68" s="956"/>
      <c r="AH68" s="956" t="s">
        <v>1167</v>
      </c>
      <c r="AI68" s="956"/>
      <c r="AJ68" s="956" t="str">
        <f>TEXT(TRUNC(P68/BB13,1),"#,##0.#")</f>
        <v>253.6</v>
      </c>
      <c r="AK68" s="956"/>
      <c r="AL68" s="956"/>
      <c r="AM68" s="956"/>
      <c r="AN68" s="956"/>
      <c r="AO68" s="956"/>
      <c r="AP68" s="956"/>
      <c r="AQ68" s="956"/>
      <c r="AR68" s="956"/>
      <c r="AS68" s="956"/>
      <c r="AT68" s="956"/>
      <c r="AU68" s="956"/>
      <c r="AV68" s="956"/>
      <c r="AW68" s="956"/>
      <c r="AX68" s="956"/>
      <c r="AY68" s="956"/>
      <c r="AZ68" s="956"/>
      <c r="BA68" s="956"/>
      <c r="BB68" s="956"/>
      <c r="BC68" s="956"/>
      <c r="BD68" s="956"/>
      <c r="BE68" s="956"/>
      <c r="BF68" s="956"/>
      <c r="BG68" s="956"/>
      <c r="BH68" s="956"/>
      <c r="BI68" s="956"/>
      <c r="BJ68" s="956"/>
      <c r="BK68" s="956"/>
      <c r="BL68" s="956"/>
      <c r="BM68" s="956"/>
      <c r="BN68" s="956"/>
      <c r="BO68" s="956"/>
      <c r="BP68" s="956"/>
      <c r="BQ68" s="956"/>
      <c r="BR68" s="956"/>
      <c r="BS68" s="956"/>
      <c r="BT68" s="956"/>
      <c r="BU68" s="956"/>
      <c r="BV68" s="956"/>
      <c r="BW68" s="956"/>
      <c r="BX68" s="956"/>
      <c r="BY68" s="956"/>
      <c r="BZ68" s="956"/>
      <c r="CA68" s="956"/>
      <c r="CB68" s="956"/>
      <c r="CC68" s="956"/>
      <c r="CD68" s="956"/>
      <c r="CE68" s="956"/>
      <c r="CF68" s="956"/>
      <c r="CG68" s="956"/>
      <c r="CH68" s="956"/>
      <c r="CI68" s="956"/>
      <c r="CJ68" s="956"/>
      <c r="CK68" s="956"/>
      <c r="CL68" s="956"/>
      <c r="CM68" s="956"/>
      <c r="CN68" s="956"/>
      <c r="CO68" s="956"/>
      <c r="CP68" s="956"/>
      <c r="CQ68" s="956"/>
      <c r="CR68" s="956"/>
      <c r="CS68" s="956"/>
      <c r="CT68" s="956"/>
      <c r="CU68" s="956"/>
      <c r="CV68" s="956"/>
      <c r="CW68" s="956"/>
      <c r="CX68" s="961"/>
      <c r="CY68" s="961"/>
      <c r="CZ68" s="961"/>
      <c r="DA68" s="962"/>
      <c r="DB68" s="959"/>
    </row>
    <row r="69" spans="2:106" ht="11.25" customHeight="1">
      <c r="B69" s="960"/>
      <c r="C69" s="956"/>
      <c r="D69" s="956"/>
      <c r="E69" s="956"/>
      <c r="F69" s="956"/>
      <c r="G69" s="956" t="s">
        <v>1169</v>
      </c>
      <c r="H69" s="956"/>
      <c r="I69" s="956"/>
      <c r="J69" s="956"/>
      <c r="K69" s="956"/>
      <c r="L69" s="956"/>
      <c r="M69" s="956"/>
      <c r="N69" s="956" t="s">
        <v>2606</v>
      </c>
      <c r="O69" s="956"/>
      <c r="P69" s="956" t="str">
        <f>TEXT([9]기계경비총괄표!H20,"#,##0")</f>
        <v>12,408</v>
      </c>
      <c r="Q69" s="956"/>
      <c r="R69" s="956"/>
      <c r="S69" s="956"/>
      <c r="T69" s="956"/>
      <c r="U69" s="956"/>
      <c r="V69" s="956"/>
      <c r="W69" s="956"/>
      <c r="X69" s="956"/>
      <c r="Y69" s="956" t="s">
        <v>2607</v>
      </c>
      <c r="Z69" s="956"/>
      <c r="AA69" s="956"/>
      <c r="AB69" s="956" t="str">
        <f>TEXT(BB13,"#,##0.#######")</f>
        <v>225.</v>
      </c>
      <c r="AC69" s="956"/>
      <c r="AD69" s="956"/>
      <c r="AE69" s="956"/>
      <c r="AF69" s="956"/>
      <c r="AG69" s="956"/>
      <c r="AH69" s="956" t="s">
        <v>1167</v>
      </c>
      <c r="AI69" s="956"/>
      <c r="AJ69" s="956"/>
      <c r="AK69" s="956" t="str">
        <f>TEXT(TRUNC(P69/BB13,1),"#,##0.#")</f>
        <v>55.1</v>
      </c>
      <c r="AL69" s="956"/>
      <c r="AM69" s="956"/>
      <c r="AN69" s="956"/>
      <c r="AO69" s="956"/>
      <c r="AP69" s="956"/>
      <c r="AQ69" s="956"/>
      <c r="AR69" s="956"/>
      <c r="AS69" s="956"/>
      <c r="AT69" s="956"/>
      <c r="AU69" s="956"/>
      <c r="AV69" s="956"/>
      <c r="AW69" s="956"/>
      <c r="AX69" s="956"/>
      <c r="AY69" s="956"/>
      <c r="AZ69" s="956"/>
      <c r="BA69" s="956"/>
      <c r="BB69" s="956"/>
      <c r="BC69" s="956"/>
      <c r="BD69" s="956"/>
      <c r="BE69" s="956"/>
      <c r="BF69" s="956"/>
      <c r="BG69" s="956"/>
      <c r="BH69" s="956"/>
      <c r="BI69" s="956"/>
      <c r="BJ69" s="956"/>
      <c r="BK69" s="956"/>
      <c r="BL69" s="956"/>
      <c r="BM69" s="956"/>
      <c r="BN69" s="956"/>
      <c r="BO69" s="956"/>
      <c r="BP69" s="956"/>
      <c r="BQ69" s="956"/>
      <c r="BR69" s="956"/>
      <c r="BS69" s="956"/>
      <c r="BT69" s="956"/>
      <c r="BU69" s="956"/>
      <c r="BV69" s="956"/>
      <c r="BW69" s="956"/>
      <c r="BX69" s="956"/>
      <c r="BY69" s="956"/>
      <c r="BZ69" s="956"/>
      <c r="CA69" s="956"/>
      <c r="CB69" s="956"/>
      <c r="CC69" s="956"/>
      <c r="CD69" s="956"/>
      <c r="CE69" s="956"/>
      <c r="CF69" s="956"/>
      <c r="CG69" s="956"/>
      <c r="CH69" s="956"/>
      <c r="CI69" s="956"/>
      <c r="CJ69" s="956"/>
      <c r="CK69" s="956"/>
      <c r="CL69" s="956"/>
      <c r="CM69" s="956"/>
      <c r="CN69" s="956"/>
      <c r="CO69" s="956"/>
      <c r="CP69" s="956"/>
      <c r="CQ69" s="956"/>
      <c r="CR69" s="956"/>
      <c r="CS69" s="956"/>
      <c r="CT69" s="956"/>
      <c r="CU69" s="956"/>
      <c r="CV69" s="956"/>
      <c r="CW69" s="956"/>
      <c r="CX69" s="961"/>
      <c r="CY69" s="961"/>
      <c r="CZ69" s="961"/>
      <c r="DA69" s="962"/>
      <c r="DB69" s="959"/>
    </row>
    <row r="70" spans="2:106" ht="11.25" customHeight="1">
      <c r="B70" s="960"/>
      <c r="C70" s="956"/>
      <c r="D70" s="956"/>
      <c r="E70" s="956"/>
      <c r="F70" s="956"/>
      <c r="G70" s="956" t="s">
        <v>2608</v>
      </c>
      <c r="H70" s="956"/>
      <c r="I70" s="956"/>
      <c r="J70" s="956"/>
      <c r="K70" s="956" t="s">
        <v>2609</v>
      </c>
      <c r="L70" s="956"/>
      <c r="M70" s="956"/>
      <c r="N70" s="956" t="s">
        <v>2606</v>
      </c>
      <c r="O70" s="956"/>
      <c r="P70" s="956" t="str">
        <f>TEXT([9]기계경비총괄표!I20,"#,##0")</f>
        <v>18,511</v>
      </c>
      <c r="Q70" s="956"/>
      <c r="R70" s="956"/>
      <c r="S70" s="956"/>
      <c r="T70" s="956"/>
      <c r="U70" s="956"/>
      <c r="V70" s="956"/>
      <c r="W70" s="956"/>
      <c r="X70" s="956"/>
      <c r="Y70" s="956" t="s">
        <v>2607</v>
      </c>
      <c r="Z70" s="956"/>
      <c r="AA70" s="956"/>
      <c r="AB70" s="956" t="str">
        <f>TEXT(BB13,"#,##0.#######")</f>
        <v>225.</v>
      </c>
      <c r="AC70" s="956"/>
      <c r="AD70" s="956"/>
      <c r="AE70" s="956"/>
      <c r="AF70" s="956"/>
      <c r="AG70" s="956"/>
      <c r="AH70" s="956" t="s">
        <v>1167</v>
      </c>
      <c r="AI70" s="956"/>
      <c r="AJ70" s="956"/>
      <c r="AK70" s="956" t="str">
        <f>TEXT(TRUNC(P70/BB13,1),"#,##0.#")</f>
        <v>82.2</v>
      </c>
      <c r="AL70" s="956"/>
      <c r="AM70" s="956"/>
      <c r="AN70" s="956"/>
      <c r="AO70" s="956"/>
      <c r="AP70" s="956"/>
      <c r="AQ70" s="956"/>
      <c r="AR70" s="956"/>
      <c r="AS70" s="956"/>
      <c r="AT70" s="956"/>
      <c r="AU70" s="956"/>
      <c r="AV70" s="956"/>
      <c r="AW70" s="956"/>
      <c r="AX70" s="956"/>
      <c r="AY70" s="956"/>
      <c r="AZ70" s="956"/>
      <c r="BA70" s="956"/>
      <c r="BB70" s="956"/>
      <c r="BC70" s="956"/>
      <c r="BD70" s="956"/>
      <c r="BE70" s="956"/>
      <c r="BF70" s="956"/>
      <c r="BG70" s="956"/>
      <c r="BH70" s="956"/>
      <c r="BI70" s="956"/>
      <c r="BJ70" s="956"/>
      <c r="BK70" s="956"/>
      <c r="BL70" s="956"/>
      <c r="BM70" s="956"/>
      <c r="BN70" s="956"/>
      <c r="BO70" s="956"/>
      <c r="BP70" s="956"/>
      <c r="BQ70" s="956"/>
      <c r="BR70" s="956"/>
      <c r="BS70" s="956"/>
      <c r="BT70" s="956"/>
      <c r="BU70" s="956"/>
      <c r="BV70" s="956"/>
      <c r="BW70" s="956"/>
      <c r="BX70" s="956"/>
      <c r="BY70" s="956"/>
      <c r="BZ70" s="956"/>
      <c r="CA70" s="956"/>
      <c r="CB70" s="956"/>
      <c r="CC70" s="956"/>
      <c r="CD70" s="956"/>
      <c r="CE70" s="956"/>
      <c r="CF70" s="956"/>
      <c r="CG70" s="956"/>
      <c r="CH70" s="956"/>
      <c r="CI70" s="956"/>
      <c r="CJ70" s="956"/>
      <c r="CK70" s="956"/>
      <c r="CL70" s="956"/>
      <c r="CM70" s="956"/>
      <c r="CN70" s="956"/>
      <c r="CO70" s="956"/>
      <c r="CP70" s="956"/>
      <c r="CQ70" s="956"/>
      <c r="CR70" s="956"/>
      <c r="CS70" s="956"/>
      <c r="CT70" s="956"/>
      <c r="CU70" s="956"/>
      <c r="CV70" s="956"/>
      <c r="CW70" s="956"/>
      <c r="CX70" s="961"/>
      <c r="CY70" s="961"/>
      <c r="CZ70" s="961"/>
      <c r="DA70" s="962"/>
      <c r="DB70" s="959"/>
    </row>
    <row r="71" spans="2:106" ht="11.25" customHeight="1">
      <c r="B71" s="960"/>
      <c r="C71" s="956"/>
      <c r="D71" s="956"/>
      <c r="E71" s="956"/>
      <c r="F71" s="956"/>
      <c r="G71" s="956" t="s">
        <v>2610</v>
      </c>
      <c r="H71" s="956"/>
      <c r="I71" s="956"/>
      <c r="J71" s="956"/>
      <c r="K71" s="956" t="s">
        <v>617</v>
      </c>
      <c r="L71" s="956"/>
      <c r="M71" s="956"/>
      <c r="N71" s="956" t="s">
        <v>2606</v>
      </c>
      <c r="O71" s="956"/>
      <c r="P71" s="956"/>
      <c r="Q71" s="956"/>
      <c r="R71" s="956"/>
      <c r="S71" s="956"/>
      <c r="T71" s="956"/>
      <c r="U71" s="956"/>
      <c r="V71" s="956"/>
      <c r="W71" s="956"/>
      <c r="X71" s="956"/>
      <c r="Y71" s="956"/>
      <c r="Z71" s="956"/>
      <c r="AA71" s="956"/>
      <c r="AB71" s="956"/>
      <c r="AC71" s="956"/>
      <c r="AD71" s="956"/>
      <c r="AE71" s="956"/>
      <c r="AF71" s="956" t="str">
        <f>TEXT(AJ68+AK69+AK70,"#,##0.#######")</f>
        <v>390.9</v>
      </c>
      <c r="AG71" s="956"/>
      <c r="AH71" s="956"/>
      <c r="AI71" s="956"/>
      <c r="AJ71" s="956"/>
      <c r="AK71" s="956"/>
      <c r="AL71" s="956"/>
      <c r="AM71" s="956"/>
      <c r="AN71" s="956"/>
      <c r="AO71" s="956"/>
      <c r="AP71" s="956"/>
      <c r="AQ71" s="956"/>
      <c r="AR71" s="956"/>
      <c r="AS71" s="956"/>
      <c r="AT71" s="956"/>
      <c r="AU71" s="956"/>
      <c r="AV71" s="956"/>
      <c r="AW71" s="956"/>
      <c r="AX71" s="956"/>
      <c r="AY71" s="956"/>
      <c r="AZ71" s="956"/>
      <c r="BA71" s="956"/>
      <c r="BB71" s="956"/>
      <c r="BC71" s="956"/>
      <c r="BD71" s="956"/>
      <c r="BE71" s="956"/>
      <c r="BF71" s="956"/>
      <c r="BG71" s="956"/>
      <c r="BH71" s="956"/>
      <c r="BI71" s="956"/>
      <c r="BJ71" s="956"/>
      <c r="BK71" s="956"/>
      <c r="BL71" s="956"/>
      <c r="BM71" s="956"/>
      <c r="BN71" s="956"/>
      <c r="BO71" s="956"/>
      <c r="BP71" s="956"/>
      <c r="BQ71" s="956"/>
      <c r="BR71" s="956"/>
      <c r="BS71" s="956"/>
      <c r="BT71" s="956"/>
      <c r="BU71" s="956"/>
      <c r="BV71" s="956"/>
      <c r="BW71" s="956"/>
      <c r="BX71" s="956"/>
      <c r="BY71" s="956"/>
      <c r="BZ71" s="956"/>
      <c r="CA71" s="956"/>
      <c r="CB71" s="956"/>
      <c r="CC71" s="956"/>
      <c r="CD71" s="956"/>
      <c r="CE71" s="956"/>
      <c r="CF71" s="956"/>
      <c r="CG71" s="956"/>
      <c r="CH71" s="956"/>
      <c r="CI71" s="956"/>
      <c r="CJ71" s="956"/>
      <c r="CK71" s="956"/>
      <c r="CL71" s="956"/>
      <c r="CM71" s="956"/>
      <c r="CN71" s="956"/>
      <c r="CO71" s="956"/>
      <c r="CP71" s="956"/>
      <c r="CQ71" s="956"/>
      <c r="CR71" s="956"/>
      <c r="CS71" s="956"/>
      <c r="CT71" s="956"/>
      <c r="CU71" s="956"/>
      <c r="CV71" s="956"/>
      <c r="CW71" s="956"/>
      <c r="CX71" s="961">
        <f>CY71+CZ71+DA71</f>
        <v>390.9</v>
      </c>
      <c r="CY71" s="961" t="str">
        <f>TEXT(AJ68,"#,###.0")</f>
        <v>253.6</v>
      </c>
      <c r="CZ71" s="961" t="str">
        <f>TEXT(AK69,"#,###.0")</f>
        <v>55.1</v>
      </c>
      <c r="DA71" s="962" t="str">
        <f>TEXT(AK70,"#,###.0")</f>
        <v>82.2</v>
      </c>
      <c r="DB71" s="959"/>
    </row>
    <row r="72" spans="2:106" ht="11.25" customHeight="1">
      <c r="B72" s="960"/>
      <c r="C72" s="956"/>
      <c r="D72" s="956"/>
      <c r="E72" s="956"/>
      <c r="F72" s="956"/>
      <c r="G72" s="956"/>
      <c r="H72" s="956"/>
      <c r="I72" s="956"/>
      <c r="J72" s="956"/>
      <c r="K72" s="956"/>
      <c r="L72" s="956"/>
      <c r="M72" s="956"/>
      <c r="N72" s="956"/>
      <c r="O72" s="956"/>
      <c r="P72" s="956"/>
      <c r="Q72" s="956"/>
      <c r="R72" s="956"/>
      <c r="S72" s="956"/>
      <c r="T72" s="956"/>
      <c r="U72" s="956"/>
      <c r="V72" s="956"/>
      <c r="W72" s="956"/>
      <c r="X72" s="956"/>
      <c r="Y72" s="956"/>
      <c r="Z72" s="956"/>
      <c r="AA72" s="956"/>
      <c r="AB72" s="956"/>
      <c r="AC72" s="956"/>
      <c r="AD72" s="956"/>
      <c r="AE72" s="956"/>
      <c r="AF72" s="956"/>
      <c r="AG72" s="956"/>
      <c r="AH72" s="956"/>
      <c r="AI72" s="956"/>
      <c r="AJ72" s="956"/>
      <c r="AK72" s="956"/>
      <c r="AL72" s="956"/>
      <c r="AM72" s="956"/>
      <c r="AN72" s="956"/>
      <c r="AO72" s="956"/>
      <c r="AP72" s="956"/>
      <c r="AQ72" s="956"/>
      <c r="AR72" s="956"/>
      <c r="AS72" s="956"/>
      <c r="AT72" s="956"/>
      <c r="AU72" s="956"/>
      <c r="AV72" s="956"/>
      <c r="AW72" s="956"/>
      <c r="AX72" s="956"/>
      <c r="AY72" s="956"/>
      <c r="AZ72" s="956"/>
      <c r="BA72" s="956"/>
      <c r="BB72" s="956"/>
      <c r="BC72" s="956"/>
      <c r="BD72" s="956"/>
      <c r="BE72" s="956"/>
      <c r="BF72" s="956"/>
      <c r="BG72" s="956"/>
      <c r="BH72" s="956"/>
      <c r="BI72" s="956"/>
      <c r="BJ72" s="956"/>
      <c r="BK72" s="956"/>
      <c r="BL72" s="956"/>
      <c r="BM72" s="956"/>
      <c r="BN72" s="956"/>
      <c r="BO72" s="956"/>
      <c r="BP72" s="956"/>
      <c r="BQ72" s="956"/>
      <c r="BR72" s="956"/>
      <c r="BS72" s="956"/>
      <c r="BT72" s="956"/>
      <c r="BU72" s="956"/>
      <c r="BV72" s="956"/>
      <c r="BW72" s="956"/>
      <c r="BX72" s="956"/>
      <c r="BY72" s="956"/>
      <c r="BZ72" s="956"/>
      <c r="CA72" s="956"/>
      <c r="CB72" s="956"/>
      <c r="CC72" s="956"/>
      <c r="CD72" s="956"/>
      <c r="CE72" s="956"/>
      <c r="CF72" s="956"/>
      <c r="CG72" s="956"/>
      <c r="CH72" s="956"/>
      <c r="CI72" s="956"/>
      <c r="CJ72" s="956"/>
      <c r="CK72" s="956"/>
      <c r="CL72" s="956"/>
      <c r="CM72" s="956"/>
      <c r="CN72" s="956"/>
      <c r="CO72" s="956"/>
      <c r="CP72" s="956"/>
      <c r="CQ72" s="956"/>
      <c r="CR72" s="956"/>
      <c r="CS72" s="956"/>
      <c r="CT72" s="956"/>
      <c r="CU72" s="956"/>
      <c r="CV72" s="956"/>
      <c r="CW72" s="956"/>
      <c r="CX72" s="961"/>
      <c r="CY72" s="961"/>
      <c r="CZ72" s="961"/>
      <c r="DA72" s="962"/>
      <c r="DB72" s="959"/>
    </row>
    <row r="73" spans="2:106" ht="11.25" customHeight="1">
      <c r="B73" s="960"/>
      <c r="C73" s="956"/>
      <c r="D73" s="956"/>
      <c r="E73" s="956" t="s">
        <v>2668</v>
      </c>
      <c r="F73" s="956"/>
      <c r="G73" s="956" t="s">
        <v>2620</v>
      </c>
      <c r="H73" s="956"/>
      <c r="I73" s="956" t="s">
        <v>2669</v>
      </c>
      <c r="J73" s="956"/>
      <c r="K73" s="956"/>
      <c r="L73" s="956"/>
      <c r="M73" s="956"/>
      <c r="N73" s="956"/>
      <c r="O73" s="956"/>
      <c r="P73" s="956"/>
      <c r="Q73" s="956"/>
      <c r="R73" s="956"/>
      <c r="S73" s="956"/>
      <c r="T73" s="956"/>
      <c r="U73" s="956"/>
      <c r="V73" s="956"/>
      <c r="W73" s="956"/>
      <c r="X73" s="956"/>
      <c r="Y73" s="956"/>
      <c r="Z73" s="956"/>
      <c r="AA73" s="956"/>
      <c r="AB73" s="956"/>
      <c r="AC73" s="956"/>
      <c r="AD73" s="956" t="s">
        <v>2670</v>
      </c>
      <c r="AE73" s="956"/>
      <c r="AF73" s="956"/>
      <c r="AG73" s="956"/>
      <c r="AH73" s="956"/>
      <c r="AI73" s="956"/>
      <c r="AJ73" s="956"/>
      <c r="AK73" s="956"/>
      <c r="AL73" s="956"/>
      <c r="AM73" s="956"/>
      <c r="AN73" s="956"/>
      <c r="AO73" s="956"/>
      <c r="AP73" s="956"/>
      <c r="AQ73" s="956"/>
      <c r="AR73" s="956"/>
      <c r="AS73" s="956"/>
      <c r="AT73" s="956"/>
      <c r="AU73" s="956"/>
      <c r="AV73" s="956"/>
      <c r="AW73" s="956"/>
      <c r="AX73" s="956"/>
      <c r="AY73" s="956"/>
      <c r="AZ73" s="956"/>
      <c r="BA73" s="956"/>
      <c r="BB73" s="956"/>
      <c r="BC73" s="956"/>
      <c r="BD73" s="956"/>
      <c r="BE73" s="956"/>
      <c r="BF73" s="956"/>
      <c r="BG73" s="956"/>
      <c r="BH73" s="956"/>
      <c r="BI73" s="956"/>
      <c r="BJ73" s="956"/>
      <c r="BK73" s="956"/>
      <c r="BL73" s="956"/>
      <c r="BM73" s="956"/>
      <c r="BN73" s="956"/>
      <c r="BO73" s="956"/>
      <c r="BP73" s="956"/>
      <c r="BQ73" s="956"/>
      <c r="BR73" s="956"/>
      <c r="BS73" s="956"/>
      <c r="BT73" s="956"/>
      <c r="BU73" s="956"/>
      <c r="BV73" s="956"/>
      <c r="BW73" s="956"/>
      <c r="BX73" s="956"/>
      <c r="BY73" s="956"/>
      <c r="BZ73" s="956"/>
      <c r="CA73" s="956"/>
      <c r="CB73" s="956"/>
      <c r="CC73" s="956"/>
      <c r="CD73" s="956"/>
      <c r="CE73" s="956"/>
      <c r="CF73" s="956"/>
      <c r="CG73" s="956"/>
      <c r="CH73" s="956"/>
      <c r="CI73" s="956"/>
      <c r="CJ73" s="956"/>
      <c r="CK73" s="956"/>
      <c r="CL73" s="956"/>
      <c r="CM73" s="956"/>
      <c r="CN73" s="956"/>
      <c r="CO73" s="956"/>
      <c r="CP73" s="956"/>
      <c r="CQ73" s="956"/>
      <c r="CR73" s="956"/>
      <c r="CS73" s="956"/>
      <c r="CT73" s="956"/>
      <c r="CU73" s="956"/>
      <c r="CV73" s="956"/>
      <c r="CW73" s="956"/>
      <c r="CX73" s="961"/>
      <c r="CY73" s="961"/>
      <c r="CZ73" s="961"/>
      <c r="DA73" s="962"/>
      <c r="DB73" s="959"/>
    </row>
    <row r="74" spans="2:106" ht="11.25" customHeight="1">
      <c r="B74" s="960"/>
      <c r="C74" s="956"/>
      <c r="D74" s="956"/>
      <c r="E74" s="956"/>
      <c r="F74" s="956"/>
      <c r="G74" s="956"/>
      <c r="H74" s="956"/>
      <c r="I74" s="956"/>
      <c r="J74" s="956"/>
      <c r="K74" s="956"/>
      <c r="L74" s="956"/>
      <c r="M74" s="956"/>
      <c r="N74" s="956"/>
      <c r="O74" s="956"/>
      <c r="P74" s="956"/>
      <c r="Q74" s="956"/>
      <c r="R74" s="956"/>
      <c r="S74" s="956"/>
      <c r="T74" s="956"/>
      <c r="U74" s="956"/>
      <c r="V74" s="956"/>
      <c r="W74" s="956"/>
      <c r="X74" s="956"/>
      <c r="Y74" s="956"/>
      <c r="Z74" s="956"/>
      <c r="AA74" s="956"/>
      <c r="AB74" s="956"/>
      <c r="AC74" s="956"/>
      <c r="AD74" s="956"/>
      <c r="AE74" s="956"/>
      <c r="AF74" s="956"/>
      <c r="AG74" s="956"/>
      <c r="AH74" s="956"/>
      <c r="AI74" s="956"/>
      <c r="AJ74" s="956"/>
      <c r="AK74" s="956"/>
      <c r="AL74" s="956"/>
      <c r="AM74" s="956"/>
      <c r="AN74" s="956"/>
      <c r="AO74" s="956"/>
      <c r="AP74" s="956"/>
      <c r="AQ74" s="956"/>
      <c r="AR74" s="956"/>
      <c r="AS74" s="956"/>
      <c r="AT74" s="956"/>
      <c r="AU74" s="956"/>
      <c r="AV74" s="956"/>
      <c r="AW74" s="956"/>
      <c r="AX74" s="956"/>
      <c r="AY74" s="956"/>
      <c r="AZ74" s="956"/>
      <c r="BA74" s="956"/>
      <c r="BB74" s="956"/>
      <c r="BC74" s="956"/>
      <c r="BD74" s="956"/>
      <c r="BE74" s="956"/>
      <c r="BF74" s="956"/>
      <c r="BG74" s="956"/>
      <c r="BH74" s="956"/>
      <c r="BI74" s="956"/>
      <c r="BJ74" s="956"/>
      <c r="BK74" s="956"/>
      <c r="BL74" s="956"/>
      <c r="BM74" s="956"/>
      <c r="BN74" s="956"/>
      <c r="BO74" s="956"/>
      <c r="BP74" s="956"/>
      <c r="BQ74" s="956"/>
      <c r="BR74" s="956"/>
      <c r="BS74" s="956"/>
      <c r="BT74" s="956"/>
      <c r="BU74" s="956"/>
      <c r="BV74" s="956"/>
      <c r="BW74" s="956"/>
      <c r="BX74" s="956"/>
      <c r="BY74" s="956"/>
      <c r="BZ74" s="956"/>
      <c r="CA74" s="956"/>
      <c r="CB74" s="956"/>
      <c r="CC74" s="956"/>
      <c r="CD74" s="956"/>
      <c r="CE74" s="956"/>
      <c r="CF74" s="956"/>
      <c r="CG74" s="956"/>
      <c r="CH74" s="956"/>
      <c r="CI74" s="956"/>
      <c r="CJ74" s="956"/>
      <c r="CK74" s="956"/>
      <c r="CL74" s="956"/>
      <c r="CM74" s="956"/>
      <c r="CN74" s="956"/>
      <c r="CO74" s="956"/>
      <c r="CP74" s="956"/>
      <c r="CQ74" s="956"/>
      <c r="CR74" s="956"/>
      <c r="CS74" s="956"/>
      <c r="CT74" s="956"/>
      <c r="CU74" s="956"/>
      <c r="CV74" s="956"/>
      <c r="CW74" s="956"/>
      <c r="CX74" s="961"/>
      <c r="CY74" s="961"/>
      <c r="CZ74" s="961"/>
      <c r="DA74" s="962"/>
      <c r="DB74" s="959"/>
    </row>
    <row r="75" spans="2:106" ht="11.25" customHeight="1">
      <c r="B75" s="960"/>
      <c r="C75" s="956"/>
      <c r="D75" s="956"/>
      <c r="E75" s="956"/>
      <c r="F75" s="956"/>
      <c r="G75" s="956" t="s">
        <v>1168</v>
      </c>
      <c r="H75" s="956"/>
      <c r="I75" s="956"/>
      <c r="J75" s="956"/>
      <c r="K75" s="956"/>
      <c r="L75" s="956"/>
      <c r="M75" s="956"/>
      <c r="N75" s="956" t="s">
        <v>2606</v>
      </c>
      <c r="O75" s="956"/>
      <c r="P75" s="956" t="str">
        <f>TEXT([9]기계경비총괄표!G21,"#,##0")</f>
        <v>57,077</v>
      </c>
      <c r="Q75" s="956"/>
      <c r="R75" s="956"/>
      <c r="S75" s="956"/>
      <c r="T75" s="956"/>
      <c r="U75" s="956"/>
      <c r="V75" s="956"/>
      <c r="W75" s="956"/>
      <c r="X75" s="956"/>
      <c r="Y75" s="956" t="s">
        <v>2607</v>
      </c>
      <c r="Z75" s="956"/>
      <c r="AA75" s="956"/>
      <c r="AB75" s="956" t="str">
        <f>TEXT(BB13,"#,##0.#######")</f>
        <v>225.</v>
      </c>
      <c r="AC75" s="956"/>
      <c r="AD75" s="956"/>
      <c r="AE75" s="956"/>
      <c r="AF75" s="956"/>
      <c r="AG75" s="956"/>
      <c r="AH75" s="956" t="s">
        <v>1167</v>
      </c>
      <c r="AI75" s="956"/>
      <c r="AJ75" s="956" t="str">
        <f>TEXT(TRUNC(P75/BB13,1),"#,##0.#")</f>
        <v>253.6</v>
      </c>
      <c r="AK75" s="956"/>
      <c r="AL75" s="956"/>
      <c r="AM75" s="956"/>
      <c r="AN75" s="956"/>
      <c r="AO75" s="956"/>
      <c r="AP75" s="956"/>
      <c r="AQ75" s="956"/>
      <c r="AR75" s="956"/>
      <c r="AS75" s="956"/>
      <c r="AT75" s="956"/>
      <c r="AU75" s="956"/>
      <c r="AV75" s="956"/>
      <c r="AW75" s="956"/>
      <c r="AX75" s="956"/>
      <c r="AY75" s="956"/>
      <c r="AZ75" s="956"/>
      <c r="BA75" s="956"/>
      <c r="BB75" s="956"/>
      <c r="BC75" s="956"/>
      <c r="BD75" s="956"/>
      <c r="BE75" s="956"/>
      <c r="BF75" s="956"/>
      <c r="BG75" s="956"/>
      <c r="BH75" s="956"/>
      <c r="BI75" s="956"/>
      <c r="BJ75" s="956"/>
      <c r="BK75" s="956"/>
      <c r="BL75" s="956"/>
      <c r="BM75" s="956"/>
      <c r="BN75" s="956"/>
      <c r="BO75" s="956"/>
      <c r="BP75" s="956"/>
      <c r="BQ75" s="956"/>
      <c r="BR75" s="956"/>
      <c r="BS75" s="956"/>
      <c r="BT75" s="956"/>
      <c r="BU75" s="956"/>
      <c r="BV75" s="956"/>
      <c r="BW75" s="956"/>
      <c r="BX75" s="956"/>
      <c r="BY75" s="956"/>
      <c r="BZ75" s="956"/>
      <c r="CA75" s="956"/>
      <c r="CB75" s="956"/>
      <c r="CC75" s="956"/>
      <c r="CD75" s="956"/>
      <c r="CE75" s="956"/>
      <c r="CF75" s="956"/>
      <c r="CG75" s="956"/>
      <c r="CH75" s="956"/>
      <c r="CI75" s="956"/>
      <c r="CJ75" s="956"/>
      <c r="CK75" s="956"/>
      <c r="CL75" s="956"/>
      <c r="CM75" s="956"/>
      <c r="CN75" s="956"/>
      <c r="CO75" s="956"/>
      <c r="CP75" s="956"/>
      <c r="CQ75" s="956"/>
      <c r="CR75" s="956"/>
      <c r="CS75" s="956"/>
      <c r="CT75" s="956"/>
      <c r="CU75" s="956"/>
      <c r="CV75" s="956"/>
      <c r="CW75" s="956"/>
      <c r="CX75" s="961"/>
      <c r="CY75" s="961"/>
      <c r="CZ75" s="961"/>
      <c r="DA75" s="962"/>
      <c r="DB75" s="959"/>
    </row>
    <row r="76" spans="2:106" ht="11.25" customHeight="1">
      <c r="B76" s="960"/>
      <c r="C76" s="956"/>
      <c r="D76" s="956"/>
      <c r="E76" s="956"/>
      <c r="F76" s="956"/>
      <c r="G76" s="956" t="s">
        <v>1169</v>
      </c>
      <c r="H76" s="956"/>
      <c r="I76" s="956"/>
      <c r="J76" s="956"/>
      <c r="K76" s="956"/>
      <c r="L76" s="956"/>
      <c r="M76" s="956"/>
      <c r="N76" s="956" t="s">
        <v>2606</v>
      </c>
      <c r="O76" s="956"/>
      <c r="P76" s="956"/>
      <c r="Q76" s="956" t="str">
        <f>TEXT([9]기계경비총괄표!H21,"#,##0")</f>
        <v>7,439</v>
      </c>
      <c r="R76" s="956"/>
      <c r="S76" s="956"/>
      <c r="T76" s="956"/>
      <c r="U76" s="956"/>
      <c r="V76" s="956"/>
      <c r="W76" s="956"/>
      <c r="X76" s="956"/>
      <c r="Y76" s="956" t="s">
        <v>2607</v>
      </c>
      <c r="Z76" s="956"/>
      <c r="AA76" s="956"/>
      <c r="AB76" s="956" t="str">
        <f>TEXT(BB13,"#,##0.#######")</f>
        <v>225.</v>
      </c>
      <c r="AC76" s="956"/>
      <c r="AD76" s="956"/>
      <c r="AE76" s="956"/>
      <c r="AF76" s="956"/>
      <c r="AG76" s="956"/>
      <c r="AH76" s="956" t="s">
        <v>1167</v>
      </c>
      <c r="AI76" s="956"/>
      <c r="AJ76" s="956" t="str">
        <f>TEXT(TRUNC(Q76/BB13,1),"#,##0.#")</f>
        <v>33.</v>
      </c>
      <c r="AK76" s="956"/>
      <c r="AL76" s="956"/>
      <c r="AM76" s="956"/>
      <c r="AN76" s="956"/>
      <c r="AO76" s="956"/>
      <c r="AP76" s="956"/>
      <c r="AQ76" s="956"/>
      <c r="AR76" s="956"/>
      <c r="AS76" s="956"/>
      <c r="AT76" s="956"/>
      <c r="AU76" s="956"/>
      <c r="AV76" s="956"/>
      <c r="AW76" s="956"/>
      <c r="AX76" s="956"/>
      <c r="AY76" s="956"/>
      <c r="AZ76" s="956"/>
      <c r="BA76" s="956"/>
      <c r="BB76" s="956"/>
      <c r="BC76" s="956"/>
      <c r="BD76" s="956"/>
      <c r="BE76" s="956"/>
      <c r="BF76" s="956"/>
      <c r="BG76" s="956"/>
      <c r="BH76" s="956"/>
      <c r="BI76" s="956"/>
      <c r="BJ76" s="956"/>
      <c r="BK76" s="956"/>
      <c r="BL76" s="956"/>
      <c r="BM76" s="956"/>
      <c r="BN76" s="956"/>
      <c r="BO76" s="956"/>
      <c r="BP76" s="956"/>
      <c r="BQ76" s="956"/>
      <c r="BR76" s="956"/>
      <c r="BS76" s="956"/>
      <c r="BT76" s="956"/>
      <c r="BU76" s="956"/>
      <c r="BV76" s="956"/>
      <c r="BW76" s="956"/>
      <c r="BX76" s="956"/>
      <c r="BY76" s="956"/>
      <c r="BZ76" s="956"/>
      <c r="CA76" s="956"/>
      <c r="CB76" s="956"/>
      <c r="CC76" s="956"/>
      <c r="CD76" s="956"/>
      <c r="CE76" s="956"/>
      <c r="CF76" s="956"/>
      <c r="CG76" s="956"/>
      <c r="CH76" s="956"/>
      <c r="CI76" s="956"/>
      <c r="CJ76" s="956"/>
      <c r="CK76" s="956"/>
      <c r="CL76" s="956"/>
      <c r="CM76" s="956"/>
      <c r="CN76" s="956"/>
      <c r="CO76" s="956"/>
      <c r="CP76" s="956"/>
      <c r="CQ76" s="956"/>
      <c r="CR76" s="956"/>
      <c r="CS76" s="956"/>
      <c r="CT76" s="956"/>
      <c r="CU76" s="956"/>
      <c r="CV76" s="956"/>
      <c r="CW76" s="956"/>
      <c r="CX76" s="961"/>
      <c r="CY76" s="961"/>
      <c r="CZ76" s="961"/>
      <c r="DA76" s="962"/>
      <c r="DB76" s="959"/>
    </row>
    <row r="77" spans="2:106" ht="11.25" customHeight="1">
      <c r="B77" s="960"/>
      <c r="C77" s="956"/>
      <c r="D77" s="956"/>
      <c r="E77" s="956"/>
      <c r="F77" s="956"/>
      <c r="G77" s="956" t="s">
        <v>2608</v>
      </c>
      <c r="H77" s="956"/>
      <c r="I77" s="956"/>
      <c r="J77" s="956"/>
      <c r="K77" s="956" t="s">
        <v>2609</v>
      </c>
      <c r="L77" s="956"/>
      <c r="M77" s="956"/>
      <c r="N77" s="956" t="s">
        <v>2606</v>
      </c>
      <c r="O77" s="956"/>
      <c r="P77" s="956"/>
      <c r="Q77" s="956" t="str">
        <f>TEXT([9]기계경비총괄표!I21,"#,##0")</f>
        <v>8,709</v>
      </c>
      <c r="R77" s="956"/>
      <c r="S77" s="956"/>
      <c r="T77" s="956"/>
      <c r="U77" s="956"/>
      <c r="V77" s="956"/>
      <c r="W77" s="956"/>
      <c r="X77" s="956"/>
      <c r="Y77" s="956" t="s">
        <v>2607</v>
      </c>
      <c r="Z77" s="956"/>
      <c r="AA77" s="956"/>
      <c r="AB77" s="956" t="str">
        <f>TEXT(BB13,"#,##0.#######")</f>
        <v>225.</v>
      </c>
      <c r="AC77" s="956"/>
      <c r="AD77" s="956"/>
      <c r="AE77" s="956"/>
      <c r="AF77" s="956"/>
      <c r="AG77" s="956"/>
      <c r="AH77" s="956" t="s">
        <v>1167</v>
      </c>
      <c r="AI77" s="956"/>
      <c r="AJ77" s="956" t="str">
        <f>TEXT(TRUNC(Q77/BB13,1),"#,##0.#")</f>
        <v>38.7</v>
      </c>
      <c r="AK77" s="956"/>
      <c r="AL77" s="956"/>
      <c r="AM77" s="956"/>
      <c r="AN77" s="956"/>
      <c r="AO77" s="956"/>
      <c r="AP77" s="956"/>
      <c r="AQ77" s="956"/>
      <c r="AR77" s="956"/>
      <c r="AS77" s="956"/>
      <c r="AT77" s="956"/>
      <c r="AU77" s="956"/>
      <c r="AV77" s="956"/>
      <c r="AW77" s="956"/>
      <c r="AX77" s="956"/>
      <c r="AY77" s="956"/>
      <c r="AZ77" s="956"/>
      <c r="BA77" s="956"/>
      <c r="BB77" s="956"/>
      <c r="BC77" s="956"/>
      <c r="BD77" s="956"/>
      <c r="BE77" s="956"/>
      <c r="BF77" s="956"/>
      <c r="BG77" s="956"/>
      <c r="BH77" s="956"/>
      <c r="BI77" s="956"/>
      <c r="BJ77" s="956"/>
      <c r="BK77" s="956"/>
      <c r="BL77" s="956"/>
      <c r="BM77" s="956"/>
      <c r="BN77" s="956"/>
      <c r="BO77" s="956"/>
      <c r="BP77" s="956"/>
      <c r="BQ77" s="956"/>
      <c r="BR77" s="956"/>
      <c r="BS77" s="956"/>
      <c r="BT77" s="956"/>
      <c r="BU77" s="956"/>
      <c r="BV77" s="956"/>
      <c r="BW77" s="956"/>
      <c r="BX77" s="956"/>
      <c r="BY77" s="956"/>
      <c r="BZ77" s="956"/>
      <c r="CA77" s="956"/>
      <c r="CB77" s="956"/>
      <c r="CC77" s="956"/>
      <c r="CD77" s="956"/>
      <c r="CE77" s="956"/>
      <c r="CF77" s="956"/>
      <c r="CG77" s="956"/>
      <c r="CH77" s="956"/>
      <c r="CI77" s="956"/>
      <c r="CJ77" s="956"/>
      <c r="CK77" s="956"/>
      <c r="CL77" s="956"/>
      <c r="CM77" s="956"/>
      <c r="CN77" s="956"/>
      <c r="CO77" s="956"/>
      <c r="CP77" s="956"/>
      <c r="CQ77" s="956"/>
      <c r="CR77" s="956"/>
      <c r="CS77" s="956"/>
      <c r="CT77" s="956"/>
      <c r="CU77" s="956"/>
      <c r="CV77" s="956"/>
      <c r="CW77" s="956"/>
      <c r="CX77" s="961"/>
      <c r="CY77" s="961"/>
      <c r="CZ77" s="961"/>
      <c r="DA77" s="962"/>
      <c r="DB77" s="959"/>
    </row>
    <row r="78" spans="2:106" ht="11.25" customHeight="1">
      <c r="B78" s="960"/>
      <c r="C78" s="956"/>
      <c r="D78" s="956"/>
      <c r="E78" s="956"/>
      <c r="F78" s="956"/>
      <c r="G78" s="956" t="s">
        <v>2610</v>
      </c>
      <c r="H78" s="956"/>
      <c r="I78" s="956"/>
      <c r="J78" s="956"/>
      <c r="K78" s="956" t="s">
        <v>617</v>
      </c>
      <c r="L78" s="956"/>
      <c r="M78" s="956"/>
      <c r="N78" s="956" t="s">
        <v>2606</v>
      </c>
      <c r="O78" s="956"/>
      <c r="P78" s="956"/>
      <c r="Q78" s="956"/>
      <c r="R78" s="956"/>
      <c r="S78" s="956"/>
      <c r="T78" s="956"/>
      <c r="U78" s="956"/>
      <c r="V78" s="956"/>
      <c r="W78" s="956"/>
      <c r="X78" s="956"/>
      <c r="Y78" s="956"/>
      <c r="Z78" s="956"/>
      <c r="AA78" s="956"/>
      <c r="AB78" s="956"/>
      <c r="AC78" s="956"/>
      <c r="AD78" s="956"/>
      <c r="AE78" s="956"/>
      <c r="AF78" s="956" t="str">
        <f>TEXT(AJ75+AJ76+AJ77,"#,##0.#######")</f>
        <v>325.3</v>
      </c>
      <c r="AG78" s="956"/>
      <c r="AH78" s="956"/>
      <c r="AI78" s="956"/>
      <c r="AJ78" s="956"/>
      <c r="AK78" s="956"/>
      <c r="AL78" s="956"/>
      <c r="AM78" s="956"/>
      <c r="AN78" s="956"/>
      <c r="AO78" s="956"/>
      <c r="AP78" s="956"/>
      <c r="AQ78" s="956"/>
      <c r="AR78" s="956"/>
      <c r="AS78" s="956"/>
      <c r="AT78" s="956"/>
      <c r="AU78" s="956"/>
      <c r="AV78" s="956"/>
      <c r="AW78" s="956"/>
      <c r="AX78" s="956"/>
      <c r="AY78" s="956"/>
      <c r="AZ78" s="956"/>
      <c r="BA78" s="956"/>
      <c r="BB78" s="956"/>
      <c r="BC78" s="956"/>
      <c r="BD78" s="956"/>
      <c r="BE78" s="956"/>
      <c r="BF78" s="956"/>
      <c r="BG78" s="956"/>
      <c r="BH78" s="956"/>
      <c r="BI78" s="956"/>
      <c r="BJ78" s="956"/>
      <c r="BK78" s="956"/>
      <c r="BL78" s="956"/>
      <c r="BM78" s="956"/>
      <c r="BN78" s="956"/>
      <c r="BO78" s="956"/>
      <c r="BP78" s="956"/>
      <c r="BQ78" s="956"/>
      <c r="BR78" s="956"/>
      <c r="BS78" s="956"/>
      <c r="BT78" s="956"/>
      <c r="BU78" s="956"/>
      <c r="BV78" s="956"/>
      <c r="BW78" s="956"/>
      <c r="BX78" s="956"/>
      <c r="BY78" s="956"/>
      <c r="BZ78" s="956"/>
      <c r="CA78" s="956"/>
      <c r="CB78" s="956"/>
      <c r="CC78" s="956"/>
      <c r="CD78" s="956"/>
      <c r="CE78" s="956"/>
      <c r="CF78" s="956"/>
      <c r="CG78" s="956"/>
      <c r="CH78" s="956"/>
      <c r="CI78" s="956"/>
      <c r="CJ78" s="956"/>
      <c r="CK78" s="956"/>
      <c r="CL78" s="956"/>
      <c r="CM78" s="956"/>
      <c r="CN78" s="956"/>
      <c r="CO78" s="956"/>
      <c r="CP78" s="956"/>
      <c r="CQ78" s="956"/>
      <c r="CR78" s="956"/>
      <c r="CS78" s="956"/>
      <c r="CT78" s="956"/>
      <c r="CU78" s="956"/>
      <c r="CV78" s="956"/>
      <c r="CW78" s="956"/>
      <c r="CX78" s="961">
        <f>CY78+CZ78+DA78</f>
        <v>325.3</v>
      </c>
      <c r="CY78" s="961" t="str">
        <f>TEXT(AJ75,"#,###.0")</f>
        <v>253.6</v>
      </c>
      <c r="CZ78" s="961" t="str">
        <f>TEXT(AJ76,"#,###.0")</f>
        <v>33.0</v>
      </c>
      <c r="DA78" s="962" t="str">
        <f>TEXT(AJ77,"#,###.0")</f>
        <v>38.7</v>
      </c>
      <c r="DB78" s="959"/>
    </row>
    <row r="79" spans="2:106" ht="11.25" customHeight="1">
      <c r="B79" s="960"/>
      <c r="C79" s="956"/>
      <c r="D79" s="956"/>
      <c r="E79" s="956"/>
      <c r="F79" s="956"/>
      <c r="G79" s="956"/>
      <c r="H79" s="956"/>
      <c r="I79" s="956"/>
      <c r="J79" s="956"/>
      <c r="K79" s="956"/>
      <c r="L79" s="956"/>
      <c r="M79" s="956"/>
      <c r="N79" s="956"/>
      <c r="O79" s="956"/>
      <c r="P79" s="956"/>
      <c r="Q79" s="956"/>
      <c r="R79" s="956"/>
      <c r="S79" s="956"/>
      <c r="T79" s="956"/>
      <c r="U79" s="956"/>
      <c r="V79" s="956"/>
      <c r="W79" s="956"/>
      <c r="X79" s="956"/>
      <c r="Y79" s="956"/>
      <c r="Z79" s="956"/>
      <c r="AA79" s="956"/>
      <c r="AB79" s="956"/>
      <c r="AC79" s="956"/>
      <c r="AD79" s="956"/>
      <c r="AE79" s="956"/>
      <c r="AF79" s="956"/>
      <c r="AG79" s="956"/>
      <c r="AH79" s="956"/>
      <c r="AI79" s="956"/>
      <c r="AJ79" s="956"/>
      <c r="AK79" s="956"/>
      <c r="AL79" s="956"/>
      <c r="AM79" s="956"/>
      <c r="AN79" s="956"/>
      <c r="AO79" s="956"/>
      <c r="AP79" s="956"/>
      <c r="AQ79" s="956"/>
      <c r="AR79" s="956"/>
      <c r="AS79" s="956"/>
      <c r="AT79" s="956"/>
      <c r="AU79" s="956"/>
      <c r="AV79" s="956"/>
      <c r="AW79" s="956"/>
      <c r="AX79" s="956"/>
      <c r="AY79" s="956"/>
      <c r="AZ79" s="956"/>
      <c r="BA79" s="956"/>
      <c r="BB79" s="956"/>
      <c r="BC79" s="956"/>
      <c r="BD79" s="956"/>
      <c r="BE79" s="956"/>
      <c r="BF79" s="956"/>
      <c r="BG79" s="956"/>
      <c r="BH79" s="956"/>
      <c r="BI79" s="956"/>
      <c r="BJ79" s="956"/>
      <c r="BK79" s="956"/>
      <c r="BL79" s="956"/>
      <c r="BM79" s="956"/>
      <c r="BN79" s="956"/>
      <c r="BO79" s="956"/>
      <c r="BP79" s="956"/>
      <c r="BQ79" s="956"/>
      <c r="BR79" s="956"/>
      <c r="BS79" s="956"/>
      <c r="BT79" s="956"/>
      <c r="BU79" s="956"/>
      <c r="BV79" s="956"/>
      <c r="BW79" s="956"/>
      <c r="BX79" s="956"/>
      <c r="BY79" s="956"/>
      <c r="BZ79" s="956"/>
      <c r="CA79" s="956"/>
      <c r="CB79" s="956"/>
      <c r="CC79" s="956"/>
      <c r="CD79" s="956"/>
      <c r="CE79" s="956"/>
      <c r="CF79" s="956"/>
      <c r="CG79" s="956"/>
      <c r="CH79" s="956"/>
      <c r="CI79" s="956"/>
      <c r="CJ79" s="956"/>
      <c r="CK79" s="956"/>
      <c r="CL79" s="956"/>
      <c r="CM79" s="956"/>
      <c r="CN79" s="956"/>
      <c r="CO79" s="956"/>
      <c r="CP79" s="956"/>
      <c r="CQ79" s="956"/>
      <c r="CR79" s="956"/>
      <c r="CS79" s="956"/>
      <c r="CT79" s="956"/>
      <c r="CU79" s="956"/>
      <c r="CV79" s="956"/>
      <c r="CW79" s="956"/>
      <c r="CX79" s="961"/>
      <c r="CY79" s="961"/>
      <c r="CZ79" s="961"/>
      <c r="DA79" s="962"/>
      <c r="DB79" s="959"/>
    </row>
    <row r="80" spans="2:106" ht="11.25" customHeight="1">
      <c r="B80" s="960"/>
      <c r="C80" s="956"/>
      <c r="D80" s="956"/>
      <c r="E80" s="956" t="s">
        <v>2671</v>
      </c>
      <c r="F80" s="956"/>
      <c r="G80" s="956" t="s">
        <v>2620</v>
      </c>
      <c r="H80" s="956"/>
      <c r="I80" s="956" t="s">
        <v>2672</v>
      </c>
      <c r="J80" s="956"/>
      <c r="K80" s="956"/>
      <c r="L80" s="956"/>
      <c r="M80" s="956"/>
      <c r="N80" s="956"/>
      <c r="O80" s="956"/>
      <c r="P80" s="956"/>
      <c r="Q80" s="956"/>
      <c r="R80" s="956"/>
      <c r="S80" s="956"/>
      <c r="T80" s="956"/>
      <c r="U80" s="956"/>
      <c r="V80" s="956"/>
      <c r="W80" s="956"/>
      <c r="X80" s="956"/>
      <c r="Y80" s="956"/>
      <c r="Z80" s="956"/>
      <c r="AA80" s="956"/>
      <c r="AB80" s="956"/>
      <c r="AC80" s="956"/>
      <c r="AD80" s="956"/>
      <c r="AE80" s="956"/>
      <c r="AF80" s="956" t="s">
        <v>2673</v>
      </c>
      <c r="AG80" s="956"/>
      <c r="AH80" s="956"/>
      <c r="AI80" s="956"/>
      <c r="AJ80" s="956"/>
      <c r="AK80" s="956"/>
      <c r="AL80" s="956"/>
      <c r="AM80" s="956"/>
      <c r="AN80" s="956"/>
      <c r="AO80" s="956"/>
      <c r="AP80" s="956"/>
      <c r="AQ80" s="956"/>
      <c r="AR80" s="956"/>
      <c r="AS80" s="956"/>
      <c r="AT80" s="956"/>
      <c r="AU80" s="956"/>
      <c r="AV80" s="956"/>
      <c r="AW80" s="956"/>
      <c r="AX80" s="956"/>
      <c r="AY80" s="956"/>
      <c r="AZ80" s="956"/>
      <c r="BA80" s="956"/>
      <c r="BB80" s="956"/>
      <c r="BC80" s="956"/>
      <c r="BD80" s="956"/>
      <c r="BE80" s="956"/>
      <c r="BF80" s="956"/>
      <c r="BG80" s="956"/>
      <c r="BH80" s="956"/>
      <c r="BI80" s="956"/>
      <c r="BJ80" s="956"/>
      <c r="BK80" s="956"/>
      <c r="BL80" s="956"/>
      <c r="BM80" s="956"/>
      <c r="BN80" s="956"/>
      <c r="BO80" s="956"/>
      <c r="BP80" s="956"/>
      <c r="BQ80" s="956"/>
      <c r="BR80" s="956"/>
      <c r="BS80" s="956"/>
      <c r="BT80" s="956"/>
      <c r="BU80" s="956"/>
      <c r="BV80" s="956"/>
      <c r="BW80" s="956"/>
      <c r="BX80" s="956"/>
      <c r="BY80" s="956"/>
      <c r="BZ80" s="956"/>
      <c r="CA80" s="956"/>
      <c r="CB80" s="956"/>
      <c r="CC80" s="956"/>
      <c r="CD80" s="956"/>
      <c r="CE80" s="956"/>
      <c r="CF80" s="956"/>
      <c r="CG80" s="956"/>
      <c r="CH80" s="956"/>
      <c r="CI80" s="956"/>
      <c r="CJ80" s="956"/>
      <c r="CK80" s="956"/>
      <c r="CL80" s="956"/>
      <c r="CM80" s="956"/>
      <c r="CN80" s="956"/>
      <c r="CO80" s="956"/>
      <c r="CP80" s="956"/>
      <c r="CQ80" s="956"/>
      <c r="CR80" s="956"/>
      <c r="CS80" s="956"/>
      <c r="CT80" s="956"/>
      <c r="CU80" s="956"/>
      <c r="CV80" s="956"/>
      <c r="CW80" s="956"/>
      <c r="CX80" s="961"/>
      <c r="CY80" s="961"/>
      <c r="CZ80" s="961"/>
      <c r="DA80" s="962"/>
      <c r="DB80" s="959"/>
    </row>
    <row r="81" spans="2:106" ht="11.25" customHeight="1">
      <c r="B81" s="960"/>
      <c r="C81" s="956"/>
      <c r="D81" s="956"/>
      <c r="E81" s="956"/>
      <c r="F81" s="956"/>
      <c r="G81" s="956"/>
      <c r="H81" s="956"/>
      <c r="I81" s="956"/>
      <c r="J81" s="956"/>
      <c r="K81" s="956"/>
      <c r="L81" s="956"/>
      <c r="M81" s="956"/>
      <c r="N81" s="956"/>
      <c r="O81" s="956"/>
      <c r="P81" s="956"/>
      <c r="Q81" s="956"/>
      <c r="R81" s="956"/>
      <c r="S81" s="956"/>
      <c r="T81" s="956"/>
      <c r="U81" s="956"/>
      <c r="V81" s="956"/>
      <c r="W81" s="956"/>
      <c r="X81" s="956"/>
      <c r="Y81" s="956"/>
      <c r="Z81" s="956"/>
      <c r="AA81" s="956"/>
      <c r="AB81" s="956"/>
      <c r="AC81" s="956"/>
      <c r="AD81" s="956"/>
      <c r="AE81" s="956"/>
      <c r="AF81" s="956"/>
      <c r="AG81" s="956"/>
      <c r="AH81" s="956"/>
      <c r="AI81" s="956"/>
      <c r="AJ81" s="956"/>
      <c r="AK81" s="956"/>
      <c r="AL81" s="956"/>
      <c r="AM81" s="956"/>
      <c r="AN81" s="956"/>
      <c r="AO81" s="956"/>
      <c r="AP81" s="956"/>
      <c r="AQ81" s="956"/>
      <c r="AR81" s="956"/>
      <c r="AS81" s="956"/>
      <c r="AT81" s="956"/>
      <c r="AU81" s="956"/>
      <c r="AV81" s="956"/>
      <c r="AW81" s="956"/>
      <c r="AX81" s="956"/>
      <c r="AY81" s="956"/>
      <c r="AZ81" s="956"/>
      <c r="BA81" s="956"/>
      <c r="BB81" s="956"/>
      <c r="BC81" s="956"/>
      <c r="BD81" s="956"/>
      <c r="BE81" s="956"/>
      <c r="BF81" s="956"/>
      <c r="BG81" s="956"/>
      <c r="BH81" s="956"/>
      <c r="BI81" s="956"/>
      <c r="BJ81" s="956"/>
      <c r="BK81" s="956"/>
      <c r="BL81" s="956"/>
      <c r="BM81" s="956"/>
      <c r="BN81" s="956"/>
      <c r="BO81" s="956"/>
      <c r="BP81" s="956"/>
      <c r="BQ81" s="956"/>
      <c r="BR81" s="956"/>
      <c r="BS81" s="956"/>
      <c r="BT81" s="956"/>
      <c r="BU81" s="956"/>
      <c r="BV81" s="956"/>
      <c r="BW81" s="956"/>
      <c r="BX81" s="956"/>
      <c r="BY81" s="956"/>
      <c r="BZ81" s="956"/>
      <c r="CA81" s="956"/>
      <c r="CB81" s="956"/>
      <c r="CC81" s="956"/>
      <c r="CD81" s="956"/>
      <c r="CE81" s="956"/>
      <c r="CF81" s="956"/>
      <c r="CG81" s="956"/>
      <c r="CH81" s="956"/>
      <c r="CI81" s="956"/>
      <c r="CJ81" s="956"/>
      <c r="CK81" s="956"/>
      <c r="CL81" s="956"/>
      <c r="CM81" s="956"/>
      <c r="CN81" s="956"/>
      <c r="CO81" s="956"/>
      <c r="CP81" s="956"/>
      <c r="CQ81" s="956"/>
      <c r="CR81" s="956"/>
      <c r="CS81" s="956"/>
      <c r="CT81" s="956"/>
      <c r="CU81" s="956"/>
      <c r="CV81" s="956"/>
      <c r="CW81" s="956"/>
      <c r="CX81" s="961"/>
      <c r="CY81" s="961"/>
      <c r="CZ81" s="961"/>
      <c r="DA81" s="962"/>
      <c r="DB81" s="959"/>
    </row>
    <row r="82" spans="2:106" ht="11.25" customHeight="1">
      <c r="B82" s="960"/>
      <c r="C82" s="956"/>
      <c r="D82" s="956"/>
      <c r="E82" s="956"/>
      <c r="F82" s="956"/>
      <c r="G82" s="956" t="s">
        <v>1168</v>
      </c>
      <c r="H82" s="956"/>
      <c r="I82" s="956"/>
      <c r="J82" s="956"/>
      <c r="K82" s="956"/>
      <c r="L82" s="956"/>
      <c r="M82" s="956"/>
      <c r="N82" s="956" t="s">
        <v>2606</v>
      </c>
      <c r="O82" s="956"/>
      <c r="P82" s="956" t="str">
        <f>TEXT([9]기계경비총괄표!G22,"#,##0")</f>
        <v>57,077</v>
      </c>
      <c r="Q82" s="956"/>
      <c r="R82" s="956"/>
      <c r="S82" s="956"/>
      <c r="T82" s="956"/>
      <c r="U82" s="956"/>
      <c r="V82" s="956"/>
      <c r="W82" s="956"/>
      <c r="X82" s="956"/>
      <c r="Y82" s="956" t="s">
        <v>2607</v>
      </c>
      <c r="Z82" s="956"/>
      <c r="AA82" s="956"/>
      <c r="AB82" s="956" t="str">
        <f>TEXT(BB13,"#,##0.#######")</f>
        <v>225.</v>
      </c>
      <c r="AC82" s="956"/>
      <c r="AD82" s="956"/>
      <c r="AE82" s="956"/>
      <c r="AF82" s="956"/>
      <c r="AG82" s="956"/>
      <c r="AH82" s="956" t="s">
        <v>1167</v>
      </c>
      <c r="AI82" s="956"/>
      <c r="AJ82" s="956" t="str">
        <f>TEXT(TRUNC(P82/BB13,1),"#,##0.#")</f>
        <v>253.6</v>
      </c>
      <c r="AK82" s="956"/>
      <c r="AL82" s="956"/>
      <c r="AM82" s="956"/>
      <c r="AN82" s="956"/>
      <c r="AO82" s="956"/>
      <c r="AP82" s="956"/>
      <c r="AQ82" s="956"/>
      <c r="AR82" s="956"/>
      <c r="AS82" s="956"/>
      <c r="AT82" s="956"/>
      <c r="AU82" s="956"/>
      <c r="AV82" s="956"/>
      <c r="AW82" s="956"/>
      <c r="AX82" s="956"/>
      <c r="AY82" s="956"/>
      <c r="AZ82" s="956"/>
      <c r="BA82" s="956"/>
      <c r="BB82" s="956"/>
      <c r="BC82" s="956"/>
      <c r="BD82" s="956"/>
      <c r="BE82" s="956"/>
      <c r="BF82" s="956"/>
      <c r="BG82" s="956"/>
      <c r="BH82" s="956"/>
      <c r="BI82" s="956"/>
      <c r="BJ82" s="956"/>
      <c r="BK82" s="956"/>
      <c r="BL82" s="956"/>
      <c r="BM82" s="956"/>
      <c r="BN82" s="956"/>
      <c r="BO82" s="956"/>
      <c r="BP82" s="956"/>
      <c r="BQ82" s="956"/>
      <c r="BR82" s="956"/>
      <c r="BS82" s="956"/>
      <c r="BT82" s="956"/>
      <c r="BU82" s="956"/>
      <c r="BV82" s="956"/>
      <c r="BW82" s="956"/>
      <c r="BX82" s="956"/>
      <c r="BY82" s="956"/>
      <c r="BZ82" s="956"/>
      <c r="CA82" s="956"/>
      <c r="CB82" s="956"/>
      <c r="CC82" s="956"/>
      <c r="CD82" s="956"/>
      <c r="CE82" s="956"/>
      <c r="CF82" s="956"/>
      <c r="CG82" s="956"/>
      <c r="CH82" s="956"/>
      <c r="CI82" s="956"/>
      <c r="CJ82" s="956"/>
      <c r="CK82" s="956"/>
      <c r="CL82" s="956"/>
      <c r="CM82" s="956"/>
      <c r="CN82" s="956"/>
      <c r="CO82" s="956"/>
      <c r="CP82" s="956"/>
      <c r="CQ82" s="956"/>
      <c r="CR82" s="956"/>
      <c r="CS82" s="956"/>
      <c r="CT82" s="956"/>
      <c r="CU82" s="956"/>
      <c r="CV82" s="956"/>
      <c r="CW82" s="956"/>
      <c r="CX82" s="961"/>
      <c r="CY82" s="961"/>
      <c r="CZ82" s="961"/>
      <c r="DA82" s="962"/>
      <c r="DB82" s="959"/>
    </row>
    <row r="83" spans="2:106" ht="11.25" customHeight="1">
      <c r="B83" s="960"/>
      <c r="C83" s="956"/>
      <c r="D83" s="956"/>
      <c r="E83" s="956"/>
      <c r="F83" s="956"/>
      <c r="G83" s="956" t="s">
        <v>1169</v>
      </c>
      <c r="H83" s="956"/>
      <c r="I83" s="956"/>
      <c r="J83" s="956"/>
      <c r="K83" s="956"/>
      <c r="L83" s="956"/>
      <c r="M83" s="956"/>
      <c r="N83" s="956" t="s">
        <v>2606</v>
      </c>
      <c r="O83" s="956"/>
      <c r="P83" s="956" t="str">
        <f>TEXT([9]기계경비총괄표!H22,"#,##0")</f>
        <v>17,181</v>
      </c>
      <c r="Q83" s="956"/>
      <c r="R83" s="956"/>
      <c r="S83" s="956"/>
      <c r="T83" s="956"/>
      <c r="U83" s="956"/>
      <c r="V83" s="956"/>
      <c r="W83" s="956"/>
      <c r="X83" s="956"/>
      <c r="Y83" s="956" t="s">
        <v>2607</v>
      </c>
      <c r="Z83" s="956"/>
      <c r="AA83" s="956"/>
      <c r="AB83" s="956" t="str">
        <f>TEXT(BB13,"#,##0.#######")</f>
        <v>225.</v>
      </c>
      <c r="AC83" s="956"/>
      <c r="AD83" s="956"/>
      <c r="AE83" s="956"/>
      <c r="AF83" s="956"/>
      <c r="AG83" s="956"/>
      <c r="AH83" s="956" t="s">
        <v>1167</v>
      </c>
      <c r="AI83" s="956"/>
      <c r="AJ83" s="956" t="str">
        <f>TEXT(TRUNC(P83/BB13,1),"#,##0.#")</f>
        <v>76.3</v>
      </c>
      <c r="AK83" s="956"/>
      <c r="AL83" s="956"/>
      <c r="AM83" s="956"/>
      <c r="AN83" s="956"/>
      <c r="AO83" s="956"/>
      <c r="AP83" s="956"/>
      <c r="AQ83" s="956"/>
      <c r="AR83" s="956"/>
      <c r="AS83" s="956"/>
      <c r="AT83" s="956"/>
      <c r="AU83" s="956"/>
      <c r="AV83" s="956"/>
      <c r="AW83" s="956"/>
      <c r="AX83" s="956"/>
      <c r="AY83" s="956"/>
      <c r="AZ83" s="956"/>
      <c r="BA83" s="956"/>
      <c r="BB83" s="956"/>
      <c r="BC83" s="956"/>
      <c r="BD83" s="956"/>
      <c r="BE83" s="956"/>
      <c r="BF83" s="956"/>
      <c r="BG83" s="956"/>
      <c r="BH83" s="956"/>
      <c r="BI83" s="956"/>
      <c r="BJ83" s="956"/>
      <c r="BK83" s="956"/>
      <c r="BL83" s="956"/>
      <c r="BM83" s="956"/>
      <c r="BN83" s="956"/>
      <c r="BO83" s="956"/>
      <c r="BP83" s="956"/>
      <c r="BQ83" s="956"/>
      <c r="BR83" s="956"/>
      <c r="BS83" s="956"/>
      <c r="BT83" s="956"/>
      <c r="BU83" s="956"/>
      <c r="BV83" s="956"/>
      <c r="BW83" s="956"/>
      <c r="BX83" s="956"/>
      <c r="BY83" s="956"/>
      <c r="BZ83" s="956"/>
      <c r="CA83" s="956"/>
      <c r="CB83" s="956"/>
      <c r="CC83" s="956"/>
      <c r="CD83" s="956"/>
      <c r="CE83" s="956"/>
      <c r="CF83" s="956"/>
      <c r="CG83" s="956"/>
      <c r="CH83" s="956"/>
      <c r="CI83" s="956"/>
      <c r="CJ83" s="956"/>
      <c r="CK83" s="956"/>
      <c r="CL83" s="956"/>
      <c r="CM83" s="956"/>
      <c r="CN83" s="956"/>
      <c r="CO83" s="956"/>
      <c r="CP83" s="956"/>
      <c r="CQ83" s="956"/>
      <c r="CR83" s="956"/>
      <c r="CS83" s="956"/>
      <c r="CT83" s="956"/>
      <c r="CU83" s="956"/>
      <c r="CV83" s="956"/>
      <c r="CW83" s="956"/>
      <c r="CX83" s="961"/>
      <c r="CY83" s="961"/>
      <c r="CZ83" s="961"/>
      <c r="DA83" s="962"/>
      <c r="DB83" s="959"/>
    </row>
    <row r="84" spans="2:106" ht="11.25" customHeight="1">
      <c r="B84" s="960"/>
      <c r="C84" s="956"/>
      <c r="D84" s="956"/>
      <c r="E84" s="956"/>
      <c r="F84" s="956"/>
      <c r="G84" s="956" t="s">
        <v>2608</v>
      </c>
      <c r="H84" s="956"/>
      <c r="I84" s="956"/>
      <c r="J84" s="956"/>
      <c r="K84" s="956" t="s">
        <v>2609</v>
      </c>
      <c r="L84" s="956"/>
      <c r="M84" s="956"/>
      <c r="N84" s="956" t="s">
        <v>2606</v>
      </c>
      <c r="O84" s="956"/>
      <c r="P84" s="956" t="str">
        <f>TEXT([9]기계경비총괄표!I22,"#,##0")</f>
        <v>15,518</v>
      </c>
      <c r="Q84" s="956"/>
      <c r="R84" s="956"/>
      <c r="S84" s="956"/>
      <c r="T84" s="956"/>
      <c r="U84" s="956"/>
      <c r="V84" s="956"/>
      <c r="W84" s="956"/>
      <c r="X84" s="956"/>
      <c r="Y84" s="956" t="s">
        <v>2607</v>
      </c>
      <c r="Z84" s="956"/>
      <c r="AA84" s="956"/>
      <c r="AB84" s="956" t="str">
        <f>TEXT(BB13,"#,##0.#######")</f>
        <v>225.</v>
      </c>
      <c r="AC84" s="956"/>
      <c r="AD84" s="956"/>
      <c r="AE84" s="956"/>
      <c r="AF84" s="956"/>
      <c r="AG84" s="956"/>
      <c r="AH84" s="956" t="s">
        <v>1167</v>
      </c>
      <c r="AI84" s="956"/>
      <c r="AJ84" s="956" t="str">
        <f>TEXT(TRUNC(P84/BB13,1),"#,##0.#")</f>
        <v>68.9</v>
      </c>
      <c r="AK84" s="956"/>
      <c r="AL84" s="956"/>
      <c r="AM84" s="956"/>
      <c r="AN84" s="956"/>
      <c r="AO84" s="956"/>
      <c r="AP84" s="956"/>
      <c r="AQ84" s="956"/>
      <c r="AR84" s="956"/>
      <c r="AS84" s="956"/>
      <c r="AT84" s="956"/>
      <c r="AU84" s="956"/>
      <c r="AV84" s="956"/>
      <c r="AW84" s="956"/>
      <c r="AX84" s="956"/>
      <c r="AY84" s="956"/>
      <c r="AZ84" s="956"/>
      <c r="BA84" s="956"/>
      <c r="BB84" s="956"/>
      <c r="BC84" s="956"/>
      <c r="BD84" s="956"/>
      <c r="BE84" s="956"/>
      <c r="BF84" s="956"/>
      <c r="BG84" s="956"/>
      <c r="BH84" s="956"/>
      <c r="BI84" s="956"/>
      <c r="BJ84" s="956"/>
      <c r="BK84" s="956"/>
      <c r="BL84" s="956"/>
      <c r="BM84" s="956"/>
      <c r="BN84" s="956"/>
      <c r="BO84" s="956"/>
      <c r="BP84" s="956"/>
      <c r="BQ84" s="956"/>
      <c r="BR84" s="956"/>
      <c r="BS84" s="956"/>
      <c r="BT84" s="956"/>
      <c r="BU84" s="956"/>
      <c r="BV84" s="956"/>
      <c r="BW84" s="956"/>
      <c r="BX84" s="956"/>
      <c r="BY84" s="956"/>
      <c r="BZ84" s="956"/>
      <c r="CA84" s="956"/>
      <c r="CB84" s="956"/>
      <c r="CC84" s="956"/>
      <c r="CD84" s="956"/>
      <c r="CE84" s="956"/>
      <c r="CF84" s="956"/>
      <c r="CG84" s="956"/>
      <c r="CH84" s="956"/>
      <c r="CI84" s="956"/>
      <c r="CJ84" s="956"/>
      <c r="CK84" s="956"/>
      <c r="CL84" s="956"/>
      <c r="CM84" s="956"/>
      <c r="CN84" s="956"/>
      <c r="CO84" s="956"/>
      <c r="CP84" s="956"/>
      <c r="CQ84" s="956"/>
      <c r="CR84" s="956"/>
      <c r="CS84" s="956"/>
      <c r="CT84" s="956"/>
      <c r="CU84" s="956"/>
      <c r="CV84" s="956"/>
      <c r="CW84" s="956"/>
      <c r="CX84" s="961"/>
      <c r="CY84" s="961"/>
      <c r="CZ84" s="961"/>
      <c r="DA84" s="962"/>
      <c r="DB84" s="959"/>
    </row>
    <row r="85" spans="2:106" ht="11.25" customHeight="1">
      <c r="B85" s="960"/>
      <c r="C85" s="956"/>
      <c r="D85" s="956"/>
      <c r="E85" s="956"/>
      <c r="F85" s="956"/>
      <c r="G85" s="956" t="s">
        <v>2610</v>
      </c>
      <c r="H85" s="956"/>
      <c r="I85" s="956"/>
      <c r="J85" s="956"/>
      <c r="K85" s="956" t="s">
        <v>617</v>
      </c>
      <c r="L85" s="956"/>
      <c r="M85" s="956"/>
      <c r="N85" s="956" t="s">
        <v>2606</v>
      </c>
      <c r="O85" s="956"/>
      <c r="P85" s="956"/>
      <c r="Q85" s="956"/>
      <c r="R85" s="956"/>
      <c r="S85" s="956"/>
      <c r="T85" s="956"/>
      <c r="U85" s="956"/>
      <c r="V85" s="956"/>
      <c r="W85" s="956"/>
      <c r="X85" s="956"/>
      <c r="Y85" s="956"/>
      <c r="Z85" s="956"/>
      <c r="AA85" s="956"/>
      <c r="AB85" s="956"/>
      <c r="AC85" s="956"/>
      <c r="AD85" s="956"/>
      <c r="AE85" s="956" t="str">
        <f>TEXT(AJ82+AJ83+AJ84,"#,##0.#######")</f>
        <v>398.8</v>
      </c>
      <c r="AF85" s="956"/>
      <c r="AG85" s="956"/>
      <c r="AH85" s="956"/>
      <c r="AI85" s="956"/>
      <c r="AJ85" s="956"/>
      <c r="AK85" s="956"/>
      <c r="AL85" s="956"/>
      <c r="AM85" s="956"/>
      <c r="AN85" s="956"/>
      <c r="AO85" s="956"/>
      <c r="AP85" s="956"/>
      <c r="AQ85" s="956"/>
      <c r="AR85" s="956"/>
      <c r="AS85" s="956"/>
      <c r="AT85" s="956"/>
      <c r="AU85" s="956"/>
      <c r="AV85" s="956"/>
      <c r="AW85" s="956"/>
      <c r="AX85" s="956"/>
      <c r="AY85" s="956"/>
      <c r="AZ85" s="956"/>
      <c r="BA85" s="956"/>
      <c r="BB85" s="956"/>
      <c r="BC85" s="956"/>
      <c r="BD85" s="956"/>
      <c r="BE85" s="956"/>
      <c r="BF85" s="956"/>
      <c r="BG85" s="956"/>
      <c r="BH85" s="956"/>
      <c r="BI85" s="956"/>
      <c r="BJ85" s="956"/>
      <c r="BK85" s="956"/>
      <c r="BL85" s="956"/>
      <c r="BM85" s="956"/>
      <c r="BN85" s="956"/>
      <c r="BO85" s="956"/>
      <c r="BP85" s="956"/>
      <c r="BQ85" s="956"/>
      <c r="BR85" s="956"/>
      <c r="BS85" s="956"/>
      <c r="BT85" s="956"/>
      <c r="BU85" s="956"/>
      <c r="BV85" s="956"/>
      <c r="BW85" s="956"/>
      <c r="BX85" s="956"/>
      <c r="BY85" s="956"/>
      <c r="BZ85" s="956"/>
      <c r="CA85" s="956"/>
      <c r="CB85" s="956"/>
      <c r="CC85" s="956"/>
      <c r="CD85" s="956"/>
      <c r="CE85" s="956"/>
      <c r="CF85" s="956"/>
      <c r="CG85" s="956"/>
      <c r="CH85" s="956"/>
      <c r="CI85" s="956"/>
      <c r="CJ85" s="956"/>
      <c r="CK85" s="956"/>
      <c r="CL85" s="956"/>
      <c r="CM85" s="956"/>
      <c r="CN85" s="956"/>
      <c r="CO85" s="956"/>
      <c r="CP85" s="956"/>
      <c r="CQ85" s="956"/>
      <c r="CR85" s="956"/>
      <c r="CS85" s="956"/>
      <c r="CT85" s="956"/>
      <c r="CU85" s="956"/>
      <c r="CV85" s="956"/>
      <c r="CW85" s="956"/>
      <c r="CX85" s="961">
        <f>CY85+CZ85+DA85</f>
        <v>398.79999999999995</v>
      </c>
      <c r="CY85" s="961" t="str">
        <f>TEXT(AJ82,"#,###.0")</f>
        <v>253.6</v>
      </c>
      <c r="CZ85" s="961" t="str">
        <f>TEXT(AJ83,"#,###.0")</f>
        <v>76.3</v>
      </c>
      <c r="DA85" s="962" t="str">
        <f>TEXT(AJ84,"#,###.0")</f>
        <v>68.9</v>
      </c>
      <c r="DB85" s="959"/>
    </row>
    <row r="86" spans="2:106" ht="11.25" customHeight="1">
      <c r="B86" s="960"/>
      <c r="C86" s="956"/>
      <c r="D86" s="956"/>
      <c r="E86" s="956"/>
      <c r="F86" s="956"/>
      <c r="G86" s="956"/>
      <c r="H86" s="956"/>
      <c r="I86" s="956"/>
      <c r="J86" s="956"/>
      <c r="K86" s="956"/>
      <c r="L86" s="956"/>
      <c r="M86" s="956"/>
      <c r="N86" s="956"/>
      <c r="O86" s="956"/>
      <c r="P86" s="956"/>
      <c r="Q86" s="956"/>
      <c r="R86" s="956"/>
      <c r="S86" s="956"/>
      <c r="T86" s="956"/>
      <c r="U86" s="956"/>
      <c r="V86" s="956"/>
      <c r="W86" s="956"/>
      <c r="X86" s="956"/>
      <c r="Y86" s="956"/>
      <c r="Z86" s="956"/>
      <c r="AA86" s="956"/>
      <c r="AB86" s="956"/>
      <c r="AC86" s="956"/>
      <c r="AD86" s="956"/>
      <c r="AE86" s="956"/>
      <c r="AF86" s="956"/>
      <c r="AG86" s="956"/>
      <c r="AH86" s="956"/>
      <c r="AI86" s="956"/>
      <c r="AJ86" s="956"/>
      <c r="AK86" s="956"/>
      <c r="AL86" s="956"/>
      <c r="AM86" s="956"/>
      <c r="AN86" s="956"/>
      <c r="AO86" s="956"/>
      <c r="AP86" s="956"/>
      <c r="AQ86" s="956"/>
      <c r="AR86" s="956"/>
      <c r="AS86" s="956"/>
      <c r="AT86" s="956"/>
      <c r="AU86" s="956"/>
      <c r="AV86" s="956"/>
      <c r="AW86" s="956"/>
      <c r="AX86" s="956"/>
      <c r="AY86" s="956"/>
      <c r="AZ86" s="956"/>
      <c r="BA86" s="956"/>
      <c r="BB86" s="956"/>
      <c r="BC86" s="956"/>
      <c r="BD86" s="956"/>
      <c r="BE86" s="956"/>
      <c r="BF86" s="956"/>
      <c r="BG86" s="956"/>
      <c r="BH86" s="956"/>
      <c r="BI86" s="956"/>
      <c r="BJ86" s="956"/>
      <c r="BK86" s="956"/>
      <c r="BL86" s="956"/>
      <c r="BM86" s="956"/>
      <c r="BN86" s="956"/>
      <c r="BO86" s="956"/>
      <c r="BP86" s="956"/>
      <c r="BQ86" s="956"/>
      <c r="BR86" s="956"/>
      <c r="BS86" s="956"/>
      <c r="BT86" s="956"/>
      <c r="BU86" s="956"/>
      <c r="BV86" s="956"/>
      <c r="BW86" s="956"/>
      <c r="BX86" s="956"/>
      <c r="BY86" s="956"/>
      <c r="BZ86" s="956"/>
      <c r="CA86" s="956"/>
      <c r="CB86" s="956"/>
      <c r="CC86" s="956"/>
      <c r="CD86" s="956"/>
      <c r="CE86" s="956"/>
      <c r="CF86" s="956"/>
      <c r="CG86" s="956"/>
      <c r="CH86" s="956"/>
      <c r="CI86" s="956"/>
      <c r="CJ86" s="956"/>
      <c r="CK86" s="956"/>
      <c r="CL86" s="956"/>
      <c r="CM86" s="956"/>
      <c r="CN86" s="956"/>
      <c r="CO86" s="956"/>
      <c r="CP86" s="956"/>
      <c r="CQ86" s="956"/>
      <c r="CR86" s="956"/>
      <c r="CS86" s="956"/>
      <c r="CT86" s="956"/>
      <c r="CU86" s="956"/>
      <c r="CV86" s="956"/>
      <c r="CW86" s="956"/>
      <c r="CX86" s="961"/>
      <c r="CY86" s="961"/>
      <c r="CZ86" s="961"/>
      <c r="DA86" s="962"/>
      <c r="DB86" s="959"/>
    </row>
    <row r="87" spans="2:106" ht="11.25" customHeight="1">
      <c r="B87" s="960"/>
      <c r="C87" s="956"/>
      <c r="D87" s="956"/>
      <c r="E87" s="956" t="s">
        <v>2674</v>
      </c>
      <c r="F87" s="956"/>
      <c r="G87" s="956" t="s">
        <v>2620</v>
      </c>
      <c r="H87" s="956"/>
      <c r="I87" s="956" t="s">
        <v>2626</v>
      </c>
      <c r="J87" s="956"/>
      <c r="K87" s="956"/>
      <c r="L87" s="956"/>
      <c r="M87" s="956"/>
      <c r="N87" s="956"/>
      <c r="O87" s="956"/>
      <c r="P87" s="956"/>
      <c r="Q87" s="956"/>
      <c r="R87" s="956" t="s">
        <v>2675</v>
      </c>
      <c r="S87" s="956"/>
      <c r="T87" s="956"/>
      <c r="U87" s="956"/>
      <c r="V87" s="956"/>
      <c r="W87" s="956"/>
      <c r="X87" s="956"/>
      <c r="Y87" s="956"/>
      <c r="Z87" s="956"/>
      <c r="AA87" s="956"/>
      <c r="AB87" s="956"/>
      <c r="AC87" s="956"/>
      <c r="AD87" s="956"/>
      <c r="AE87" s="956"/>
      <c r="AF87" s="956"/>
      <c r="AG87" s="956"/>
      <c r="AH87" s="956"/>
      <c r="AI87" s="956"/>
      <c r="AJ87" s="956"/>
      <c r="AK87" s="956"/>
      <c r="AL87" s="956"/>
      <c r="AM87" s="956"/>
      <c r="AN87" s="956"/>
      <c r="AO87" s="956"/>
      <c r="AP87" s="956"/>
      <c r="AQ87" s="956"/>
      <c r="AR87" s="956"/>
      <c r="AS87" s="956"/>
      <c r="AT87" s="956"/>
      <c r="AU87" s="956"/>
      <c r="AV87" s="956"/>
      <c r="AW87" s="956"/>
      <c r="AX87" s="956"/>
      <c r="AY87" s="956"/>
      <c r="AZ87" s="956"/>
      <c r="BA87" s="956"/>
      <c r="BB87" s="956"/>
      <c r="BC87" s="956"/>
      <c r="BD87" s="956"/>
      <c r="BE87" s="956"/>
      <c r="BF87" s="956"/>
      <c r="BG87" s="956"/>
      <c r="BH87" s="956"/>
      <c r="BI87" s="956"/>
      <c r="BJ87" s="956"/>
      <c r="BK87" s="956"/>
      <c r="BL87" s="956"/>
      <c r="BM87" s="956"/>
      <c r="BN87" s="956"/>
      <c r="BO87" s="956"/>
      <c r="BP87" s="956"/>
      <c r="BQ87" s="956"/>
      <c r="BR87" s="956"/>
      <c r="BS87" s="956"/>
      <c r="BT87" s="956"/>
      <c r="BU87" s="956"/>
      <c r="BV87" s="956"/>
      <c r="BW87" s="956"/>
      <c r="BX87" s="956"/>
      <c r="BY87" s="956"/>
      <c r="BZ87" s="956"/>
      <c r="CA87" s="956"/>
      <c r="CB87" s="956"/>
      <c r="CC87" s="956"/>
      <c r="CD87" s="956"/>
      <c r="CE87" s="956"/>
      <c r="CF87" s="956"/>
      <c r="CG87" s="956"/>
      <c r="CH87" s="956"/>
      <c r="CI87" s="956"/>
      <c r="CJ87" s="956"/>
      <c r="CK87" s="956"/>
      <c r="CL87" s="956"/>
      <c r="CM87" s="956"/>
      <c r="CN87" s="956"/>
      <c r="CO87" s="956"/>
      <c r="CP87" s="956"/>
      <c r="CQ87" s="956"/>
      <c r="CR87" s="956"/>
      <c r="CS87" s="956"/>
      <c r="CT87" s="956"/>
      <c r="CU87" s="956"/>
      <c r="CV87" s="956"/>
      <c r="CW87" s="956"/>
      <c r="CX87" s="961"/>
      <c r="CY87" s="961"/>
      <c r="CZ87" s="961"/>
      <c r="DA87" s="962"/>
      <c r="DB87" s="959"/>
    </row>
    <row r="88" spans="2:106" ht="11.25" customHeight="1">
      <c r="B88" s="960"/>
      <c r="C88" s="956"/>
      <c r="D88" s="956"/>
      <c r="E88" s="956"/>
      <c r="F88" s="956"/>
      <c r="G88" s="956"/>
      <c r="H88" s="956"/>
      <c r="I88" s="956"/>
      <c r="J88" s="956"/>
      <c r="K88" s="956"/>
      <c r="L88" s="956"/>
      <c r="M88" s="956"/>
      <c r="N88" s="956"/>
      <c r="O88" s="956"/>
      <c r="P88" s="956"/>
      <c r="Q88" s="956"/>
      <c r="R88" s="956"/>
      <c r="S88" s="956"/>
      <c r="T88" s="956"/>
      <c r="U88" s="956"/>
      <c r="V88" s="956"/>
      <c r="W88" s="956"/>
      <c r="X88" s="956"/>
      <c r="Y88" s="956"/>
      <c r="Z88" s="956"/>
      <c r="AA88" s="956"/>
      <c r="AB88" s="956"/>
      <c r="AC88" s="956"/>
      <c r="AD88" s="956"/>
      <c r="AE88" s="956"/>
      <c r="AF88" s="956"/>
      <c r="AG88" s="956"/>
      <c r="AH88" s="956"/>
      <c r="AI88" s="956"/>
      <c r="AJ88" s="956"/>
      <c r="AK88" s="956"/>
      <c r="AL88" s="956"/>
      <c r="AM88" s="956"/>
      <c r="AN88" s="956"/>
      <c r="AO88" s="956"/>
      <c r="AP88" s="956"/>
      <c r="AQ88" s="956"/>
      <c r="AR88" s="956"/>
      <c r="AS88" s="956"/>
      <c r="AT88" s="956"/>
      <c r="AU88" s="956"/>
      <c r="AV88" s="956"/>
      <c r="AW88" s="956"/>
      <c r="AX88" s="956"/>
      <c r="AY88" s="956"/>
      <c r="AZ88" s="956"/>
      <c r="BA88" s="956"/>
      <c r="BB88" s="956"/>
      <c r="BC88" s="956"/>
      <c r="BD88" s="956"/>
      <c r="BE88" s="956"/>
      <c r="BF88" s="956"/>
      <c r="BG88" s="956"/>
      <c r="BH88" s="956"/>
      <c r="BI88" s="956"/>
      <c r="BJ88" s="956"/>
      <c r="BK88" s="956"/>
      <c r="BL88" s="956"/>
      <c r="BM88" s="956"/>
      <c r="BN88" s="956"/>
      <c r="BO88" s="956"/>
      <c r="BP88" s="956"/>
      <c r="BQ88" s="956"/>
      <c r="BR88" s="956"/>
      <c r="BS88" s="956"/>
      <c r="BT88" s="956"/>
      <c r="BU88" s="956"/>
      <c r="BV88" s="956"/>
      <c r="BW88" s="956"/>
      <c r="BX88" s="956"/>
      <c r="BY88" s="956"/>
      <c r="BZ88" s="956"/>
      <c r="CA88" s="956"/>
      <c r="CB88" s="956"/>
      <c r="CC88" s="956"/>
      <c r="CD88" s="956"/>
      <c r="CE88" s="956"/>
      <c r="CF88" s="956"/>
      <c r="CG88" s="956"/>
      <c r="CH88" s="956"/>
      <c r="CI88" s="956"/>
      <c r="CJ88" s="956"/>
      <c r="CK88" s="956"/>
      <c r="CL88" s="956"/>
      <c r="CM88" s="956"/>
      <c r="CN88" s="956"/>
      <c r="CO88" s="956"/>
      <c r="CP88" s="956"/>
      <c r="CQ88" s="956"/>
      <c r="CR88" s="956"/>
      <c r="CS88" s="956"/>
      <c r="CT88" s="956"/>
      <c r="CU88" s="956"/>
      <c r="CV88" s="956"/>
      <c r="CW88" s="956"/>
      <c r="CX88" s="961"/>
      <c r="CY88" s="961"/>
      <c r="CZ88" s="961"/>
      <c r="DA88" s="962"/>
      <c r="DB88" s="959"/>
    </row>
    <row r="89" spans="2:106" ht="11.25" customHeight="1">
      <c r="B89" s="960"/>
      <c r="C89" s="956"/>
      <c r="D89" s="956"/>
      <c r="E89" s="956"/>
      <c r="F89" s="956"/>
      <c r="G89" s="956" t="s">
        <v>1168</v>
      </c>
      <c r="H89" s="956"/>
      <c r="I89" s="956"/>
      <c r="J89" s="956"/>
      <c r="K89" s="956"/>
      <c r="L89" s="956"/>
      <c r="M89" s="956"/>
      <c r="N89" s="956" t="s">
        <v>2606</v>
      </c>
      <c r="O89" s="956"/>
      <c r="P89" s="956" t="str">
        <f>TEXT([9]기계경비총괄표!G23,"#,##0")</f>
        <v>49,479</v>
      </c>
      <c r="Q89" s="956"/>
      <c r="R89" s="956"/>
      <c r="S89" s="956"/>
      <c r="T89" s="956"/>
      <c r="U89" s="956"/>
      <c r="V89" s="956"/>
      <c r="W89" s="956"/>
      <c r="X89" s="956"/>
      <c r="Y89" s="956" t="s">
        <v>2607</v>
      </c>
      <c r="Z89" s="956"/>
      <c r="AA89" s="956"/>
      <c r="AB89" s="956" t="str">
        <f>TEXT(BB13,"#,##0.#######")</f>
        <v>225.</v>
      </c>
      <c r="AC89" s="956"/>
      <c r="AD89" s="956"/>
      <c r="AE89" s="956"/>
      <c r="AF89" s="956"/>
      <c r="AG89" s="956"/>
      <c r="AH89" s="956" t="s">
        <v>1167</v>
      </c>
      <c r="AI89" s="956"/>
      <c r="AJ89" s="956" t="str">
        <f>TEXT(TRUNC(P89/BB13,1),"#,##0.#")</f>
        <v>219.9</v>
      </c>
      <c r="AK89" s="956"/>
      <c r="AL89" s="956"/>
      <c r="AM89" s="956"/>
      <c r="AN89" s="956"/>
      <c r="AO89" s="956"/>
      <c r="AP89" s="956"/>
      <c r="AQ89" s="956"/>
      <c r="AR89" s="956"/>
      <c r="AS89" s="956"/>
      <c r="AT89" s="956"/>
      <c r="AU89" s="956"/>
      <c r="AV89" s="956"/>
      <c r="AW89" s="956"/>
      <c r="AX89" s="956"/>
      <c r="AY89" s="956"/>
      <c r="AZ89" s="956"/>
      <c r="BA89" s="956"/>
      <c r="BB89" s="956"/>
      <c r="BC89" s="956"/>
      <c r="BD89" s="956"/>
      <c r="BE89" s="956"/>
      <c r="BF89" s="956"/>
      <c r="BG89" s="956"/>
      <c r="BH89" s="956"/>
      <c r="BI89" s="956"/>
      <c r="BJ89" s="956"/>
      <c r="BK89" s="956"/>
      <c r="BL89" s="956"/>
      <c r="BM89" s="956"/>
      <c r="BN89" s="956"/>
      <c r="BO89" s="956"/>
      <c r="BP89" s="956"/>
      <c r="BQ89" s="956"/>
      <c r="BR89" s="956"/>
      <c r="BS89" s="956"/>
      <c r="BT89" s="956"/>
      <c r="BU89" s="956"/>
      <c r="BV89" s="956"/>
      <c r="BW89" s="956"/>
      <c r="BX89" s="956"/>
      <c r="BY89" s="956"/>
      <c r="BZ89" s="956"/>
      <c r="CA89" s="956"/>
      <c r="CB89" s="956"/>
      <c r="CC89" s="956"/>
      <c r="CD89" s="956"/>
      <c r="CE89" s="956"/>
      <c r="CF89" s="956"/>
      <c r="CG89" s="956"/>
      <c r="CH89" s="956"/>
      <c r="CI89" s="956"/>
      <c r="CJ89" s="956"/>
      <c r="CK89" s="956"/>
      <c r="CL89" s="956"/>
      <c r="CM89" s="956"/>
      <c r="CN89" s="956"/>
      <c r="CO89" s="956"/>
      <c r="CP89" s="956"/>
      <c r="CQ89" s="956"/>
      <c r="CR89" s="956"/>
      <c r="CS89" s="956"/>
      <c r="CT89" s="956"/>
      <c r="CU89" s="956"/>
      <c r="CV89" s="956"/>
      <c r="CW89" s="956"/>
      <c r="CX89" s="961"/>
      <c r="CY89" s="961"/>
      <c r="CZ89" s="961"/>
      <c r="DA89" s="962"/>
      <c r="DB89" s="959"/>
    </row>
    <row r="90" spans="2:106" ht="11.25" customHeight="1">
      <c r="B90" s="960"/>
      <c r="C90" s="956"/>
      <c r="D90" s="956"/>
      <c r="E90" s="956"/>
      <c r="F90" s="956"/>
      <c r="G90" s="956" t="s">
        <v>1169</v>
      </c>
      <c r="H90" s="956"/>
      <c r="I90" s="956"/>
      <c r="J90" s="956"/>
      <c r="K90" s="956"/>
      <c r="L90" s="956"/>
      <c r="M90" s="956"/>
      <c r="N90" s="956" t="s">
        <v>2606</v>
      </c>
      <c r="O90" s="956"/>
      <c r="P90" s="956" t="str">
        <f>TEXT([9]기계경비총괄표!H23,"#,##0")</f>
        <v>21,146</v>
      </c>
      <c r="Q90" s="956"/>
      <c r="R90" s="956"/>
      <c r="S90" s="956"/>
      <c r="T90" s="956"/>
      <c r="U90" s="956"/>
      <c r="V90" s="956"/>
      <c r="W90" s="956"/>
      <c r="X90" s="956"/>
      <c r="Y90" s="956" t="s">
        <v>2607</v>
      </c>
      <c r="Z90" s="956"/>
      <c r="AA90" s="956"/>
      <c r="AB90" s="956" t="str">
        <f>TEXT(BB13,"#,##0.#######")</f>
        <v>225.</v>
      </c>
      <c r="AC90" s="956"/>
      <c r="AD90" s="956"/>
      <c r="AE90" s="956"/>
      <c r="AF90" s="956"/>
      <c r="AG90" s="956"/>
      <c r="AH90" s="956" t="s">
        <v>1167</v>
      </c>
      <c r="AI90" s="956"/>
      <c r="AJ90" s="956" t="str">
        <f>TEXT(TRUNC(P90/BB13,1),"#,##0.#")</f>
        <v>93.9</v>
      </c>
      <c r="AK90" s="956"/>
      <c r="AL90" s="956"/>
      <c r="AM90" s="956"/>
      <c r="AN90" s="956"/>
      <c r="AO90" s="956"/>
      <c r="AP90" s="956"/>
      <c r="AQ90" s="956"/>
      <c r="AR90" s="956"/>
      <c r="AS90" s="956"/>
      <c r="AT90" s="956"/>
      <c r="AU90" s="956"/>
      <c r="AV90" s="956"/>
      <c r="AW90" s="956"/>
      <c r="AX90" s="956"/>
      <c r="AY90" s="956"/>
      <c r="AZ90" s="956"/>
      <c r="BA90" s="956"/>
      <c r="BB90" s="956"/>
      <c r="BC90" s="956"/>
      <c r="BD90" s="956"/>
      <c r="BE90" s="956"/>
      <c r="BF90" s="956"/>
      <c r="BG90" s="956"/>
      <c r="BH90" s="956"/>
      <c r="BI90" s="956"/>
      <c r="BJ90" s="956"/>
      <c r="BK90" s="956"/>
      <c r="BL90" s="956"/>
      <c r="BM90" s="956"/>
      <c r="BN90" s="956"/>
      <c r="BO90" s="956"/>
      <c r="BP90" s="956"/>
      <c r="BQ90" s="956"/>
      <c r="BR90" s="956"/>
      <c r="BS90" s="956"/>
      <c r="BT90" s="956"/>
      <c r="BU90" s="956"/>
      <c r="BV90" s="956"/>
      <c r="BW90" s="956"/>
      <c r="BX90" s="956"/>
      <c r="BY90" s="956"/>
      <c r="BZ90" s="956"/>
      <c r="CA90" s="956"/>
      <c r="CB90" s="956"/>
      <c r="CC90" s="956"/>
      <c r="CD90" s="956"/>
      <c r="CE90" s="956"/>
      <c r="CF90" s="956"/>
      <c r="CG90" s="956"/>
      <c r="CH90" s="956"/>
      <c r="CI90" s="956"/>
      <c r="CJ90" s="956"/>
      <c r="CK90" s="956"/>
      <c r="CL90" s="956"/>
      <c r="CM90" s="956"/>
      <c r="CN90" s="956"/>
      <c r="CO90" s="956"/>
      <c r="CP90" s="956"/>
      <c r="CQ90" s="956"/>
      <c r="CR90" s="956"/>
      <c r="CS90" s="956"/>
      <c r="CT90" s="956"/>
      <c r="CU90" s="956"/>
      <c r="CV90" s="956"/>
      <c r="CW90" s="956"/>
      <c r="CX90" s="961"/>
      <c r="CY90" s="961"/>
      <c r="CZ90" s="961"/>
      <c r="DA90" s="962"/>
      <c r="DB90" s="959"/>
    </row>
    <row r="91" spans="2:106" ht="11.25" customHeight="1">
      <c r="B91" s="960"/>
      <c r="C91" s="956"/>
      <c r="D91" s="956"/>
      <c r="E91" s="956"/>
      <c r="F91" s="956"/>
      <c r="G91" s="956" t="s">
        <v>2608</v>
      </c>
      <c r="H91" s="956"/>
      <c r="I91" s="956"/>
      <c r="J91" s="956"/>
      <c r="K91" s="956" t="s">
        <v>2609</v>
      </c>
      <c r="L91" s="956"/>
      <c r="M91" s="956"/>
      <c r="N91" s="956" t="s">
        <v>2606</v>
      </c>
      <c r="O91" s="956"/>
      <c r="P91" s="956" t="str">
        <f>TEXT([9]기계경비총괄표!I23,"#,##0")</f>
        <v>18,728</v>
      </c>
      <c r="Q91" s="956"/>
      <c r="R91" s="956"/>
      <c r="S91" s="956"/>
      <c r="T91" s="956"/>
      <c r="U91" s="956"/>
      <c r="V91" s="956"/>
      <c r="W91" s="956"/>
      <c r="X91" s="956"/>
      <c r="Y91" s="956" t="s">
        <v>2607</v>
      </c>
      <c r="Z91" s="956"/>
      <c r="AA91" s="956"/>
      <c r="AB91" s="956" t="str">
        <f>TEXT(BB13,"#,##0.#######")</f>
        <v>225.</v>
      </c>
      <c r="AC91" s="956"/>
      <c r="AD91" s="956"/>
      <c r="AE91" s="956"/>
      <c r="AF91" s="956"/>
      <c r="AG91" s="956"/>
      <c r="AH91" s="956" t="s">
        <v>1167</v>
      </c>
      <c r="AI91" s="956"/>
      <c r="AJ91" s="956" t="str">
        <f>TEXT(TRUNC(P91/BB13,1),"#,##0.#")</f>
        <v>83.2</v>
      </c>
      <c r="AK91" s="956"/>
      <c r="AL91" s="956"/>
      <c r="AM91" s="956"/>
      <c r="AN91" s="956"/>
      <c r="AO91" s="956"/>
      <c r="AP91" s="956"/>
      <c r="AQ91" s="956"/>
      <c r="AR91" s="956"/>
      <c r="AS91" s="956"/>
      <c r="AT91" s="956"/>
      <c r="AU91" s="956"/>
      <c r="AV91" s="956"/>
      <c r="AW91" s="956"/>
      <c r="AX91" s="956"/>
      <c r="AY91" s="956"/>
      <c r="AZ91" s="956"/>
      <c r="BA91" s="956"/>
      <c r="BB91" s="956"/>
      <c r="BC91" s="956"/>
      <c r="BD91" s="956"/>
      <c r="BE91" s="956"/>
      <c r="BF91" s="956"/>
      <c r="BG91" s="956"/>
      <c r="BH91" s="956"/>
      <c r="BI91" s="956"/>
      <c r="BJ91" s="956"/>
      <c r="BK91" s="956"/>
      <c r="BL91" s="956"/>
      <c r="BM91" s="956"/>
      <c r="BN91" s="956"/>
      <c r="BO91" s="956"/>
      <c r="BP91" s="956"/>
      <c r="BQ91" s="956"/>
      <c r="BR91" s="956"/>
      <c r="BS91" s="956"/>
      <c r="BT91" s="956"/>
      <c r="BU91" s="956"/>
      <c r="BV91" s="956"/>
      <c r="BW91" s="956"/>
      <c r="BX91" s="956"/>
      <c r="BY91" s="956"/>
      <c r="BZ91" s="956"/>
      <c r="CA91" s="956"/>
      <c r="CB91" s="956"/>
      <c r="CC91" s="956"/>
      <c r="CD91" s="956"/>
      <c r="CE91" s="956"/>
      <c r="CF91" s="956"/>
      <c r="CG91" s="956"/>
      <c r="CH91" s="956"/>
      <c r="CI91" s="956"/>
      <c r="CJ91" s="956"/>
      <c r="CK91" s="956"/>
      <c r="CL91" s="956"/>
      <c r="CM91" s="956"/>
      <c r="CN91" s="956"/>
      <c r="CO91" s="956"/>
      <c r="CP91" s="956"/>
      <c r="CQ91" s="956"/>
      <c r="CR91" s="956"/>
      <c r="CS91" s="956"/>
      <c r="CT91" s="956"/>
      <c r="CU91" s="956"/>
      <c r="CV91" s="956"/>
      <c r="CW91" s="956"/>
      <c r="CX91" s="961"/>
      <c r="CY91" s="961"/>
      <c r="CZ91" s="961"/>
      <c r="DA91" s="962"/>
      <c r="DB91" s="959"/>
    </row>
    <row r="92" spans="2:106" ht="11.25" customHeight="1">
      <c r="B92" s="960"/>
      <c r="C92" s="956"/>
      <c r="D92" s="956"/>
      <c r="E92" s="956"/>
      <c r="F92" s="956"/>
      <c r="G92" s="956" t="s">
        <v>2610</v>
      </c>
      <c r="H92" s="956"/>
      <c r="I92" s="956"/>
      <c r="J92" s="956"/>
      <c r="K92" s="956" t="s">
        <v>617</v>
      </c>
      <c r="L92" s="956"/>
      <c r="M92" s="956"/>
      <c r="N92" s="956" t="s">
        <v>2606</v>
      </c>
      <c r="O92" s="956"/>
      <c r="P92" s="956"/>
      <c r="Q92" s="956"/>
      <c r="R92" s="956"/>
      <c r="S92" s="956"/>
      <c r="T92" s="956"/>
      <c r="U92" s="956"/>
      <c r="V92" s="956"/>
      <c r="W92" s="956"/>
      <c r="X92" s="956"/>
      <c r="Y92" s="956"/>
      <c r="Z92" s="956"/>
      <c r="AA92" s="956"/>
      <c r="AB92" s="956"/>
      <c r="AC92" s="956"/>
      <c r="AD92" s="956"/>
      <c r="AE92" s="956" t="str">
        <f>TEXT(AJ89+AJ90+AJ91,"#,##0.#######")</f>
        <v>397.</v>
      </c>
      <c r="AF92" s="956"/>
      <c r="AG92" s="956"/>
      <c r="AH92" s="956"/>
      <c r="AI92" s="956"/>
      <c r="AJ92" s="956"/>
      <c r="AK92" s="956"/>
      <c r="AL92" s="956"/>
      <c r="AM92" s="956"/>
      <c r="AN92" s="956"/>
      <c r="AO92" s="956"/>
      <c r="AP92" s="956"/>
      <c r="AQ92" s="956"/>
      <c r="AR92" s="956"/>
      <c r="AS92" s="956"/>
      <c r="AT92" s="956"/>
      <c r="AU92" s="956"/>
      <c r="AV92" s="956"/>
      <c r="AW92" s="956"/>
      <c r="AX92" s="956"/>
      <c r="AY92" s="956"/>
      <c r="AZ92" s="956"/>
      <c r="BA92" s="956"/>
      <c r="BB92" s="956"/>
      <c r="BC92" s="956"/>
      <c r="BD92" s="956"/>
      <c r="BE92" s="956"/>
      <c r="BF92" s="956"/>
      <c r="BG92" s="956"/>
      <c r="BH92" s="956"/>
      <c r="BI92" s="956"/>
      <c r="BJ92" s="956"/>
      <c r="BK92" s="956"/>
      <c r="BL92" s="956"/>
      <c r="BM92" s="956"/>
      <c r="BN92" s="956"/>
      <c r="BO92" s="956"/>
      <c r="BP92" s="956"/>
      <c r="BQ92" s="956"/>
      <c r="BR92" s="956"/>
      <c r="BS92" s="956"/>
      <c r="BT92" s="956"/>
      <c r="BU92" s="956"/>
      <c r="BV92" s="956"/>
      <c r="BW92" s="956"/>
      <c r="BX92" s="956"/>
      <c r="BY92" s="956"/>
      <c r="BZ92" s="956"/>
      <c r="CA92" s="956"/>
      <c r="CB92" s="956"/>
      <c r="CC92" s="956"/>
      <c r="CD92" s="956"/>
      <c r="CE92" s="956"/>
      <c r="CF92" s="956"/>
      <c r="CG92" s="956"/>
      <c r="CH92" s="956"/>
      <c r="CI92" s="956"/>
      <c r="CJ92" s="956"/>
      <c r="CK92" s="956"/>
      <c r="CL92" s="956"/>
      <c r="CM92" s="956"/>
      <c r="CN92" s="956"/>
      <c r="CO92" s="956"/>
      <c r="CP92" s="956"/>
      <c r="CQ92" s="956"/>
      <c r="CR92" s="956"/>
      <c r="CS92" s="956"/>
      <c r="CT92" s="956"/>
      <c r="CU92" s="956"/>
      <c r="CV92" s="956"/>
      <c r="CW92" s="956"/>
      <c r="CX92" s="961">
        <f>CY92+CZ92+DA92</f>
        <v>397</v>
      </c>
      <c r="CY92" s="961" t="str">
        <f>TEXT(AJ89,"#,###.0")</f>
        <v>219.9</v>
      </c>
      <c r="CZ92" s="961" t="str">
        <f>TEXT(AJ90,"#,###.0")</f>
        <v>93.9</v>
      </c>
      <c r="DA92" s="962" t="str">
        <f>TEXT(AJ91,"#,###.0")</f>
        <v>83.2</v>
      </c>
      <c r="DB92" s="959"/>
    </row>
    <row r="93" spans="2:106" ht="11.25" customHeight="1">
      <c r="B93" s="960"/>
      <c r="C93" s="956"/>
      <c r="D93" s="956"/>
      <c r="E93" s="956"/>
      <c r="F93" s="956"/>
      <c r="G93" s="956"/>
      <c r="H93" s="956"/>
      <c r="I93" s="956"/>
      <c r="J93" s="956"/>
      <c r="K93" s="956"/>
      <c r="L93" s="956"/>
      <c r="M93" s="956"/>
      <c r="N93" s="956"/>
      <c r="O93" s="956"/>
      <c r="P93" s="956"/>
      <c r="Q93" s="956"/>
      <c r="R93" s="956"/>
      <c r="S93" s="956"/>
      <c r="T93" s="956"/>
      <c r="U93" s="956"/>
      <c r="V93" s="956"/>
      <c r="W93" s="956"/>
      <c r="X93" s="956"/>
      <c r="Y93" s="956"/>
      <c r="Z93" s="956"/>
      <c r="AA93" s="956"/>
      <c r="AB93" s="956"/>
      <c r="AC93" s="956"/>
      <c r="AD93" s="956"/>
      <c r="AE93" s="956"/>
      <c r="AF93" s="956"/>
      <c r="AG93" s="956"/>
      <c r="AH93" s="956"/>
      <c r="AI93" s="956"/>
      <c r="AJ93" s="956"/>
      <c r="AK93" s="956"/>
      <c r="AL93" s="956"/>
      <c r="AM93" s="956"/>
      <c r="AN93" s="956"/>
      <c r="AO93" s="956"/>
      <c r="AP93" s="956"/>
      <c r="AQ93" s="956"/>
      <c r="AR93" s="956"/>
      <c r="AS93" s="956"/>
      <c r="AT93" s="956"/>
      <c r="AU93" s="956"/>
      <c r="AV93" s="956"/>
      <c r="AW93" s="956"/>
      <c r="AX93" s="956"/>
      <c r="AY93" s="956"/>
      <c r="AZ93" s="956"/>
      <c r="BA93" s="956"/>
      <c r="BB93" s="956"/>
      <c r="BC93" s="956"/>
      <c r="BD93" s="956"/>
      <c r="BE93" s="956"/>
      <c r="BF93" s="956"/>
      <c r="BG93" s="956"/>
      <c r="BH93" s="956"/>
      <c r="BI93" s="956"/>
      <c r="BJ93" s="956"/>
      <c r="BK93" s="956"/>
      <c r="BL93" s="956"/>
      <c r="BM93" s="956"/>
      <c r="BN93" s="956"/>
      <c r="BO93" s="956"/>
      <c r="BP93" s="956"/>
      <c r="BQ93" s="956"/>
      <c r="BR93" s="956"/>
      <c r="BS93" s="956"/>
      <c r="BT93" s="956"/>
      <c r="BU93" s="956"/>
      <c r="BV93" s="956"/>
      <c r="BW93" s="956"/>
      <c r="BX93" s="956"/>
      <c r="BY93" s="956"/>
      <c r="BZ93" s="956"/>
      <c r="CA93" s="956"/>
      <c r="CB93" s="956"/>
      <c r="CC93" s="956"/>
      <c r="CD93" s="956"/>
      <c r="CE93" s="956"/>
      <c r="CF93" s="956"/>
      <c r="CG93" s="956"/>
      <c r="CH93" s="956"/>
      <c r="CI93" s="956"/>
      <c r="CJ93" s="956"/>
      <c r="CK93" s="956"/>
      <c r="CL93" s="956"/>
      <c r="CM93" s="956"/>
      <c r="CN93" s="956"/>
      <c r="CO93" s="956"/>
      <c r="CP93" s="956"/>
      <c r="CQ93" s="956"/>
      <c r="CR93" s="956"/>
      <c r="CS93" s="956"/>
      <c r="CT93" s="956"/>
      <c r="CU93" s="956"/>
      <c r="CV93" s="956"/>
      <c r="CW93" s="956"/>
      <c r="CX93" s="961"/>
      <c r="CY93" s="961"/>
      <c r="CZ93" s="961"/>
      <c r="DA93" s="962"/>
      <c r="DB93" s="959"/>
    </row>
    <row r="94" spans="2:106" ht="11.25" customHeight="1">
      <c r="B94" s="960"/>
      <c r="C94" s="956"/>
      <c r="D94" s="956"/>
      <c r="E94" s="956" t="s">
        <v>2676</v>
      </c>
      <c r="F94" s="956"/>
      <c r="G94" s="956" t="s">
        <v>2620</v>
      </c>
      <c r="H94" s="956"/>
      <c r="I94" s="956" t="s">
        <v>2610</v>
      </c>
      <c r="J94" s="956"/>
      <c r="K94" s="956"/>
      <c r="L94" s="956"/>
      <c r="M94" s="956" t="s">
        <v>617</v>
      </c>
      <c r="N94" s="956"/>
      <c r="O94" s="956"/>
      <c r="P94" s="956"/>
      <c r="Q94" s="956"/>
      <c r="R94" s="956"/>
      <c r="S94" s="956"/>
      <c r="T94" s="956"/>
      <c r="U94" s="956"/>
      <c r="V94" s="956"/>
      <c r="W94" s="956"/>
      <c r="X94" s="956"/>
      <c r="Y94" s="956"/>
      <c r="Z94" s="956"/>
      <c r="AA94" s="956"/>
      <c r="AB94" s="956"/>
      <c r="AC94" s="956"/>
      <c r="AD94" s="956"/>
      <c r="AE94" s="956"/>
      <c r="AF94" s="956"/>
      <c r="AG94" s="956"/>
      <c r="AH94" s="956"/>
      <c r="AI94" s="956"/>
      <c r="AJ94" s="956"/>
      <c r="AK94" s="956"/>
      <c r="AL94" s="956"/>
      <c r="AM94" s="956"/>
      <c r="AN94" s="956"/>
      <c r="AO94" s="956"/>
      <c r="AP94" s="956"/>
      <c r="AQ94" s="956"/>
      <c r="AR94" s="956"/>
      <c r="AS94" s="956"/>
      <c r="AT94" s="956"/>
      <c r="AU94" s="956"/>
      <c r="AV94" s="956"/>
      <c r="AW94" s="956"/>
      <c r="AX94" s="956"/>
      <c r="AY94" s="956"/>
      <c r="AZ94" s="956"/>
      <c r="BA94" s="956"/>
      <c r="BB94" s="956"/>
      <c r="BC94" s="956"/>
      <c r="BD94" s="956"/>
      <c r="BE94" s="956"/>
      <c r="BF94" s="956"/>
      <c r="BG94" s="956"/>
      <c r="BH94" s="956"/>
      <c r="BI94" s="956"/>
      <c r="BJ94" s="956"/>
      <c r="BK94" s="956"/>
      <c r="BL94" s="956"/>
      <c r="BM94" s="956"/>
      <c r="BN94" s="956"/>
      <c r="BO94" s="956"/>
      <c r="BP94" s="956"/>
      <c r="BQ94" s="956"/>
      <c r="BR94" s="956"/>
      <c r="BS94" s="956"/>
      <c r="BT94" s="956"/>
      <c r="BU94" s="956"/>
      <c r="BV94" s="956"/>
      <c r="BW94" s="956"/>
      <c r="BX94" s="956"/>
      <c r="BY94" s="956"/>
      <c r="BZ94" s="956"/>
      <c r="CA94" s="956"/>
      <c r="CB94" s="956"/>
      <c r="CC94" s="956"/>
      <c r="CD94" s="956"/>
      <c r="CE94" s="956"/>
      <c r="CF94" s="956"/>
      <c r="CG94" s="956"/>
      <c r="CH94" s="956"/>
      <c r="CI94" s="956"/>
      <c r="CJ94" s="956"/>
      <c r="CK94" s="956"/>
      <c r="CL94" s="956"/>
      <c r="CM94" s="956"/>
      <c r="CN94" s="956"/>
      <c r="CO94" s="956"/>
      <c r="CP94" s="956"/>
      <c r="CQ94" s="956"/>
      <c r="CR94" s="956"/>
      <c r="CS94" s="956"/>
      <c r="CT94" s="956"/>
      <c r="CU94" s="956"/>
      <c r="CV94" s="956"/>
      <c r="CW94" s="956"/>
      <c r="CX94" s="961"/>
      <c r="CY94" s="961"/>
      <c r="CZ94" s="961"/>
      <c r="DA94" s="962"/>
      <c r="DB94" s="959"/>
    </row>
    <row r="95" spans="2:106" ht="11.25" customHeight="1">
      <c r="B95" s="960"/>
      <c r="C95" s="956"/>
      <c r="D95" s="956"/>
      <c r="E95" s="956"/>
      <c r="F95" s="956"/>
      <c r="G95" s="956"/>
      <c r="H95" s="956"/>
      <c r="I95" s="956"/>
      <c r="J95" s="956"/>
      <c r="K95" s="956"/>
      <c r="L95" s="956"/>
      <c r="M95" s="956"/>
      <c r="N95" s="956"/>
      <c r="O95" s="956"/>
      <c r="P95" s="956"/>
      <c r="Q95" s="956"/>
      <c r="R95" s="956"/>
      <c r="S95" s="956"/>
      <c r="T95" s="956"/>
      <c r="U95" s="956"/>
      <c r="V95" s="956"/>
      <c r="W95" s="956"/>
      <c r="X95" s="956"/>
      <c r="Y95" s="956"/>
      <c r="Z95" s="956"/>
      <c r="AA95" s="956"/>
      <c r="AB95" s="956"/>
      <c r="AC95" s="956"/>
      <c r="AD95" s="956"/>
      <c r="AE95" s="956"/>
      <c r="AF95" s="956"/>
      <c r="AG95" s="956"/>
      <c r="AH95" s="956"/>
      <c r="AI95" s="956"/>
      <c r="AJ95" s="956"/>
      <c r="AK95" s="956"/>
      <c r="AL95" s="956"/>
      <c r="AM95" s="956"/>
      <c r="AN95" s="956"/>
      <c r="AO95" s="956"/>
      <c r="AP95" s="956"/>
      <c r="AQ95" s="956"/>
      <c r="AR95" s="956"/>
      <c r="AS95" s="956"/>
      <c r="AT95" s="956"/>
      <c r="AU95" s="956"/>
      <c r="AV95" s="956"/>
      <c r="AW95" s="956"/>
      <c r="AX95" s="956"/>
      <c r="AY95" s="956"/>
      <c r="AZ95" s="956"/>
      <c r="BA95" s="956"/>
      <c r="BB95" s="956"/>
      <c r="BC95" s="956"/>
      <c r="BD95" s="956"/>
      <c r="BE95" s="956"/>
      <c r="BF95" s="956"/>
      <c r="BG95" s="956"/>
      <c r="BH95" s="956"/>
      <c r="BI95" s="956"/>
      <c r="BJ95" s="956"/>
      <c r="BK95" s="956"/>
      <c r="BL95" s="956"/>
      <c r="BM95" s="956"/>
      <c r="BN95" s="956"/>
      <c r="BO95" s="956"/>
      <c r="BP95" s="956"/>
      <c r="BQ95" s="956"/>
      <c r="BR95" s="956"/>
      <c r="BS95" s="956"/>
      <c r="BT95" s="956"/>
      <c r="BU95" s="956"/>
      <c r="BV95" s="956"/>
      <c r="BW95" s="956"/>
      <c r="BX95" s="956"/>
      <c r="BY95" s="956"/>
      <c r="BZ95" s="956"/>
      <c r="CA95" s="956"/>
      <c r="CB95" s="956"/>
      <c r="CC95" s="956"/>
      <c r="CD95" s="956"/>
      <c r="CE95" s="956"/>
      <c r="CF95" s="956"/>
      <c r="CG95" s="956"/>
      <c r="CH95" s="956"/>
      <c r="CI95" s="956"/>
      <c r="CJ95" s="956"/>
      <c r="CK95" s="956"/>
      <c r="CL95" s="956"/>
      <c r="CM95" s="956"/>
      <c r="CN95" s="956"/>
      <c r="CO95" s="956"/>
      <c r="CP95" s="956"/>
      <c r="CQ95" s="956"/>
      <c r="CR95" s="956"/>
      <c r="CS95" s="956"/>
      <c r="CT95" s="956"/>
      <c r="CU95" s="956"/>
      <c r="CV95" s="956"/>
      <c r="CW95" s="956"/>
      <c r="CX95" s="961"/>
      <c r="CY95" s="961"/>
      <c r="CZ95" s="961"/>
      <c r="DA95" s="962"/>
      <c r="DB95" s="959"/>
    </row>
    <row r="96" spans="2:106" ht="11.25" customHeight="1">
      <c r="B96" s="960"/>
      <c r="C96" s="956"/>
      <c r="D96" s="956"/>
      <c r="E96" s="956"/>
      <c r="F96" s="956"/>
      <c r="G96" s="956"/>
      <c r="H96" s="956" t="s">
        <v>1168</v>
      </c>
      <c r="I96" s="956"/>
      <c r="J96" s="956"/>
      <c r="K96" s="956"/>
      <c r="L96" s="956"/>
      <c r="M96" s="956"/>
      <c r="N96" s="956"/>
      <c r="O96" s="956" t="s">
        <v>2606</v>
      </c>
      <c r="P96" s="956"/>
      <c r="Q96" s="956" t="str">
        <f>TEXT(CY36,"#,###.##")</f>
        <v>253.6</v>
      </c>
      <c r="R96" s="956"/>
      <c r="S96" s="956"/>
      <c r="T96" s="956"/>
      <c r="U96" s="956"/>
      <c r="V96" s="956"/>
      <c r="W96" s="956" t="s">
        <v>2603</v>
      </c>
      <c r="X96" s="956"/>
      <c r="Y96" s="956" t="str">
        <f>TEXT(CY43,"#,###.##")</f>
        <v>253.6</v>
      </c>
      <c r="Z96" s="956"/>
      <c r="AA96" s="956"/>
      <c r="AB96" s="956"/>
      <c r="AC96" s="956"/>
      <c r="AD96" s="956"/>
      <c r="AE96" s="956" t="s">
        <v>2603</v>
      </c>
      <c r="AF96" s="956"/>
      <c r="AG96" s="956" t="str">
        <f>TEXT(CY50,"#,###.##")</f>
        <v>253.6</v>
      </c>
      <c r="AH96" s="956"/>
      <c r="AI96" s="956"/>
      <c r="AJ96" s="956"/>
      <c r="AK96" s="956"/>
      <c r="AL96" s="956"/>
      <c r="AM96" s="956" t="s">
        <v>2603</v>
      </c>
      <c r="AN96" s="956"/>
      <c r="AO96" s="956" t="str">
        <f>TEXT(CY57,"#,###.##")</f>
        <v>253.6</v>
      </c>
      <c r="AP96" s="956"/>
      <c r="AQ96" s="956"/>
      <c r="AR96" s="956"/>
      <c r="AS96" s="956"/>
      <c r="AT96" s="956"/>
      <c r="AU96" s="956" t="s">
        <v>2603</v>
      </c>
      <c r="AV96" s="956"/>
      <c r="AW96" s="956" t="str">
        <f>TEXT(CY64,"#,###.##")</f>
        <v>253.6</v>
      </c>
      <c r="AX96" s="956"/>
      <c r="AY96" s="956"/>
      <c r="AZ96" s="956"/>
      <c r="BA96" s="956"/>
      <c r="BB96" s="956"/>
      <c r="BC96" s="956" t="s">
        <v>2603</v>
      </c>
      <c r="BD96" s="956"/>
      <c r="BE96" s="956" t="str">
        <f>TEXT(CY71,"#,###.##")</f>
        <v>253.6</v>
      </c>
      <c r="BF96" s="956"/>
      <c r="BG96" s="956"/>
      <c r="BH96" s="956"/>
      <c r="BI96" s="956"/>
      <c r="BJ96" s="956"/>
      <c r="BK96" s="956" t="s">
        <v>2603</v>
      </c>
      <c r="BL96" s="956"/>
      <c r="BM96" s="956" t="str">
        <f>TEXT(CY78,"#,###.##")</f>
        <v>253.6</v>
      </c>
      <c r="BN96" s="956"/>
      <c r="BO96" s="956"/>
      <c r="BP96" s="956"/>
      <c r="BQ96" s="956"/>
      <c r="BR96" s="956"/>
      <c r="BS96" s="956" t="s">
        <v>2603</v>
      </c>
      <c r="BT96" s="956"/>
      <c r="BU96" s="956" t="str">
        <f>TEXT(CY85,"#,###.##")</f>
        <v>253.6</v>
      </c>
      <c r="BV96" s="956"/>
      <c r="BW96" s="956"/>
      <c r="BX96" s="956"/>
      <c r="BY96" s="956"/>
      <c r="BZ96" s="956"/>
      <c r="CA96" s="956" t="s">
        <v>2603</v>
      </c>
      <c r="CB96" s="956"/>
      <c r="CC96" s="956" t="str">
        <f>TEXT(CY92,"#,###.##")</f>
        <v>219.9</v>
      </c>
      <c r="CD96" s="956"/>
      <c r="CE96" s="956"/>
      <c r="CF96" s="956"/>
      <c r="CG96" s="956"/>
      <c r="CH96" s="956"/>
      <c r="CI96" s="956" t="s">
        <v>1167</v>
      </c>
      <c r="CJ96" s="956"/>
      <c r="CK96" s="956"/>
      <c r="CL96" s="956" t="str">
        <f>TEXT(TRUNC(CY36+CY43+CY50+CY57+CY64+CY71+CY78+CY85+CY92,1),"#,##0.#")</f>
        <v>2,248.7</v>
      </c>
      <c r="CM96" s="956"/>
      <c r="CN96" s="956"/>
      <c r="CO96" s="956"/>
      <c r="CP96" s="956"/>
      <c r="CQ96" s="956"/>
      <c r="CR96" s="956"/>
      <c r="CS96" s="956"/>
      <c r="CT96" s="956"/>
      <c r="CU96" s="956"/>
      <c r="CV96" s="956"/>
      <c r="CW96" s="956"/>
      <c r="CX96" s="961"/>
      <c r="CY96" s="961"/>
      <c r="CZ96" s="961"/>
      <c r="DA96" s="962"/>
      <c r="DB96" s="959"/>
    </row>
    <row r="97" spans="2:106" ht="11.25" customHeight="1">
      <c r="B97" s="960"/>
      <c r="C97" s="956"/>
      <c r="D97" s="956"/>
      <c r="E97" s="956"/>
      <c r="F97" s="956"/>
      <c r="G97" s="956"/>
      <c r="H97" s="956" t="s">
        <v>1169</v>
      </c>
      <c r="I97" s="956"/>
      <c r="J97" s="956"/>
      <c r="K97" s="956"/>
      <c r="L97" s="956"/>
      <c r="M97" s="956"/>
      <c r="N97" s="956"/>
      <c r="O97" s="956" t="s">
        <v>2606</v>
      </c>
      <c r="P97" s="956"/>
      <c r="Q97" s="956" t="str">
        <f>TEXT(CZ36,"#,###.##")</f>
        <v>342.6</v>
      </c>
      <c r="R97" s="956"/>
      <c r="S97" s="956"/>
      <c r="T97" s="956"/>
      <c r="U97" s="956"/>
      <c r="V97" s="956"/>
      <c r="W97" s="956" t="s">
        <v>2603</v>
      </c>
      <c r="X97" s="956"/>
      <c r="Y97" s="956" t="str">
        <f>TEXT(CZ43,"#,###.##")</f>
        <v>50.</v>
      </c>
      <c r="Z97" s="956"/>
      <c r="AA97" s="956"/>
      <c r="AB97" s="956" t="s">
        <v>2603</v>
      </c>
      <c r="AC97" s="956"/>
      <c r="AD97" s="956" t="str">
        <f>TEXT(CZ50,"#,###.##")</f>
        <v>28.2</v>
      </c>
      <c r="AE97" s="956"/>
      <c r="AF97" s="956"/>
      <c r="AG97" s="956"/>
      <c r="AH97" s="956"/>
      <c r="AI97" s="956" t="s">
        <v>2603</v>
      </c>
      <c r="AJ97" s="956"/>
      <c r="AK97" s="956" t="str">
        <f>TEXT(CZ57,"#,###.##")</f>
        <v>77.9</v>
      </c>
      <c r="AL97" s="956"/>
      <c r="AM97" s="956"/>
      <c r="AN97" s="956"/>
      <c r="AO97" s="956"/>
      <c r="AP97" s="956" t="s">
        <v>2603</v>
      </c>
      <c r="AQ97" s="956"/>
      <c r="AR97" s="956" t="str">
        <f>TEXT(CZ64,"#,###.##")</f>
        <v>61.5</v>
      </c>
      <c r="AS97" s="956"/>
      <c r="AT97" s="956"/>
      <c r="AU97" s="956"/>
      <c r="AV97" s="956"/>
      <c r="AW97" s="956" t="s">
        <v>2603</v>
      </c>
      <c r="AX97" s="956"/>
      <c r="AY97" s="956" t="str">
        <f>TEXT(CZ71,"#,###.##")</f>
        <v>55.1</v>
      </c>
      <c r="AZ97" s="956"/>
      <c r="BA97" s="956"/>
      <c r="BB97" s="956"/>
      <c r="BC97" s="956"/>
      <c r="BD97" s="956" t="s">
        <v>2603</v>
      </c>
      <c r="BE97" s="956"/>
      <c r="BF97" s="956" t="str">
        <f>TEXT(CZ78,"#,###.##")</f>
        <v>33.</v>
      </c>
      <c r="BG97" s="956"/>
      <c r="BH97" s="956"/>
      <c r="BI97" s="956" t="s">
        <v>2603</v>
      </c>
      <c r="BJ97" s="956"/>
      <c r="BK97" s="956" t="str">
        <f>TEXT(CZ85,"#,###.##")</f>
        <v>76.3</v>
      </c>
      <c r="BL97" s="956"/>
      <c r="BM97" s="956"/>
      <c r="BN97" s="956"/>
      <c r="BO97" s="956"/>
      <c r="BP97" s="956" t="s">
        <v>2603</v>
      </c>
      <c r="BQ97" s="956"/>
      <c r="BR97" s="956" t="str">
        <f>TEXT(CZ92,"#,###.##")</f>
        <v>93.9</v>
      </c>
      <c r="BS97" s="956"/>
      <c r="BT97" s="956"/>
      <c r="BU97" s="956"/>
      <c r="BV97" s="956"/>
      <c r="BW97" s="956" t="s">
        <v>1167</v>
      </c>
      <c r="BX97" s="956"/>
      <c r="BY97" s="956"/>
      <c r="BZ97" s="956" t="str">
        <f>TEXT(TRUNC(CZ36+CZ43+CZ50+CZ57+CZ64+CZ71+CZ78+CZ85+CZ92,1),"#,##0.#")</f>
        <v>818.5</v>
      </c>
      <c r="CA97" s="956"/>
      <c r="CB97" s="956"/>
      <c r="CC97" s="956"/>
      <c r="CD97" s="956"/>
      <c r="CE97" s="956"/>
      <c r="CF97" s="956"/>
      <c r="CG97" s="956"/>
      <c r="CH97" s="956"/>
      <c r="CI97" s="956"/>
      <c r="CJ97" s="956"/>
      <c r="CK97" s="956"/>
      <c r="CL97" s="956"/>
      <c r="CM97" s="956"/>
      <c r="CN97" s="956"/>
      <c r="CO97" s="956"/>
      <c r="CP97" s="956"/>
      <c r="CQ97" s="956"/>
      <c r="CR97" s="956"/>
      <c r="CS97" s="956"/>
      <c r="CT97" s="956"/>
      <c r="CU97" s="956"/>
      <c r="CV97" s="956"/>
      <c r="CW97" s="956"/>
      <c r="CX97" s="961"/>
      <c r="CY97" s="961"/>
      <c r="CZ97" s="961"/>
      <c r="DA97" s="962"/>
      <c r="DB97" s="959"/>
    </row>
    <row r="98" spans="2:106" ht="11.25" customHeight="1">
      <c r="B98" s="960"/>
      <c r="C98" s="956"/>
      <c r="D98" s="956"/>
      <c r="E98" s="956"/>
      <c r="F98" s="956"/>
      <c r="G98" s="956"/>
      <c r="H98" s="956" t="s">
        <v>2608</v>
      </c>
      <c r="I98" s="956"/>
      <c r="J98" s="956"/>
      <c r="K98" s="956"/>
      <c r="L98" s="956" t="s">
        <v>2609</v>
      </c>
      <c r="M98" s="956"/>
      <c r="N98" s="956"/>
      <c r="O98" s="956" t="s">
        <v>2606</v>
      </c>
      <c r="P98" s="956"/>
      <c r="Q98" s="956" t="str">
        <f>TEXT(DA36,"#,###.##")</f>
        <v>758.3</v>
      </c>
      <c r="R98" s="956"/>
      <c r="S98" s="956"/>
      <c r="T98" s="956"/>
      <c r="U98" s="956"/>
      <c r="V98" s="956"/>
      <c r="W98" s="956" t="s">
        <v>2603</v>
      </c>
      <c r="X98" s="956"/>
      <c r="Y98" s="956" t="str">
        <f>TEXT(DA43,"#,###.##")</f>
        <v>92.</v>
      </c>
      <c r="Z98" s="956"/>
      <c r="AA98" s="956"/>
      <c r="AB98" s="956" t="s">
        <v>2603</v>
      </c>
      <c r="AC98" s="956"/>
      <c r="AD98" s="956" t="str">
        <f>TEXT(DA50,"#,###.##")</f>
        <v>32.1</v>
      </c>
      <c r="AE98" s="956"/>
      <c r="AF98" s="956"/>
      <c r="AG98" s="956"/>
      <c r="AH98" s="956"/>
      <c r="AI98" s="956" t="s">
        <v>2603</v>
      </c>
      <c r="AJ98" s="956"/>
      <c r="AK98" s="956" t="str">
        <f>TEXT(DA57,"#,###.##")</f>
        <v>247.2</v>
      </c>
      <c r="AL98" s="956"/>
      <c r="AM98" s="956"/>
      <c r="AN98" s="956"/>
      <c r="AO98" s="956"/>
      <c r="AP98" s="956"/>
      <c r="AQ98" s="956" t="s">
        <v>2603</v>
      </c>
      <c r="AR98" s="956"/>
      <c r="AS98" s="956" t="str">
        <f>TEXT(DA64,"#,###.##")</f>
        <v>55.</v>
      </c>
      <c r="AT98" s="956"/>
      <c r="AU98" s="956"/>
      <c r="AV98" s="956" t="s">
        <v>2603</v>
      </c>
      <c r="AW98" s="956"/>
      <c r="AX98" s="956" t="str">
        <f>TEXT(DA71,"#,###.##")</f>
        <v>82.2</v>
      </c>
      <c r="AY98" s="956"/>
      <c r="AZ98" s="956"/>
      <c r="BA98" s="956"/>
      <c r="BB98" s="956"/>
      <c r="BC98" s="956" t="s">
        <v>2603</v>
      </c>
      <c r="BD98" s="956"/>
      <c r="BE98" s="956" t="str">
        <f>TEXT(DA78,"#,###.##")</f>
        <v>38.7</v>
      </c>
      <c r="BF98" s="956"/>
      <c r="BG98" s="956"/>
      <c r="BH98" s="956"/>
      <c r="BI98" s="956"/>
      <c r="BJ98" s="956" t="s">
        <v>2603</v>
      </c>
      <c r="BK98" s="956"/>
      <c r="BL98" s="956" t="str">
        <f>TEXT(DA85,"#,###.##")</f>
        <v>68.9</v>
      </c>
      <c r="BM98" s="956"/>
      <c r="BN98" s="956"/>
      <c r="BO98" s="956"/>
      <c r="BP98" s="956"/>
      <c r="BQ98" s="956" t="s">
        <v>2603</v>
      </c>
      <c r="BR98" s="956"/>
      <c r="BS98" s="956" t="str">
        <f>TEXT(DA92,"#,###.##")</f>
        <v>83.2</v>
      </c>
      <c r="BT98" s="956"/>
      <c r="BU98" s="956"/>
      <c r="BV98" s="956"/>
      <c r="BW98" s="956"/>
      <c r="BX98" s="956" t="s">
        <v>1167</v>
      </c>
      <c r="BY98" s="956"/>
      <c r="BZ98" s="956"/>
      <c r="CA98" s="956" t="str">
        <f>TEXT(TRUNC(DA36+DA43+DA50+DA57+DA64+DA71+DA78+DA85+DA92,1),"#,##0.#")</f>
        <v>1,457.6</v>
      </c>
      <c r="CB98" s="956"/>
      <c r="CC98" s="956"/>
      <c r="CD98" s="956"/>
      <c r="CE98" s="956"/>
      <c r="CF98" s="956"/>
      <c r="CG98" s="956"/>
      <c r="CH98" s="956"/>
      <c r="CI98" s="956"/>
      <c r="CJ98" s="956"/>
      <c r="CK98" s="956"/>
      <c r="CL98" s="956"/>
      <c r="CM98" s="956"/>
      <c r="CN98" s="956"/>
      <c r="CO98" s="956"/>
      <c r="CP98" s="956"/>
      <c r="CQ98" s="956"/>
      <c r="CR98" s="956"/>
      <c r="CS98" s="956"/>
      <c r="CT98" s="956"/>
      <c r="CU98" s="956"/>
      <c r="CV98" s="956"/>
      <c r="CW98" s="956"/>
      <c r="CX98" s="961"/>
      <c r="CY98" s="961"/>
      <c r="CZ98" s="961"/>
      <c r="DA98" s="962"/>
      <c r="DB98" s="959"/>
    </row>
    <row r="99" spans="2:106" ht="11.25" customHeight="1">
      <c r="B99" s="960"/>
      <c r="C99" s="956"/>
      <c r="D99" s="956"/>
      <c r="E99" s="956"/>
      <c r="F99" s="956"/>
      <c r="G99" s="956"/>
      <c r="H99" s="956"/>
      <c r="I99" s="956"/>
      <c r="J99" s="956" t="s">
        <v>617</v>
      </c>
      <c r="K99" s="956"/>
      <c r="L99" s="956"/>
      <c r="M99" s="956"/>
      <c r="N99" s="956"/>
      <c r="O99" s="956" t="s">
        <v>2606</v>
      </c>
      <c r="P99" s="956"/>
      <c r="Q99" s="956"/>
      <c r="R99" s="956" t="str">
        <f>TEXT(CL96+BZ97+CA98,"#,##0.#######")</f>
        <v>4,524.8</v>
      </c>
      <c r="S99" s="956"/>
      <c r="T99" s="956"/>
      <c r="U99" s="956"/>
      <c r="V99" s="956"/>
      <c r="W99" s="956"/>
      <c r="X99" s="956"/>
      <c r="Y99" s="956"/>
      <c r="Z99" s="956"/>
      <c r="AA99" s="956"/>
      <c r="AB99" s="956"/>
      <c r="AC99" s="956"/>
      <c r="AD99" s="956"/>
      <c r="AE99" s="956"/>
      <c r="AF99" s="956"/>
      <c r="AG99" s="956"/>
      <c r="AH99" s="956"/>
      <c r="AI99" s="956"/>
      <c r="AJ99" s="956"/>
      <c r="AK99" s="956"/>
      <c r="AL99" s="956"/>
      <c r="AM99" s="956"/>
      <c r="AN99" s="956"/>
      <c r="AO99" s="956"/>
      <c r="AP99" s="956"/>
      <c r="AQ99" s="956"/>
      <c r="AR99" s="956"/>
      <c r="AS99" s="956"/>
      <c r="AT99" s="956"/>
      <c r="AU99" s="956"/>
      <c r="AV99" s="956"/>
      <c r="AW99" s="956"/>
      <c r="AX99" s="956"/>
      <c r="AY99" s="956"/>
      <c r="AZ99" s="956"/>
      <c r="BA99" s="956"/>
      <c r="BB99" s="956"/>
      <c r="BC99" s="956"/>
      <c r="BD99" s="956"/>
      <c r="BE99" s="956"/>
      <c r="BF99" s="956"/>
      <c r="BG99" s="956"/>
      <c r="BH99" s="956"/>
      <c r="BI99" s="956"/>
      <c r="BJ99" s="956"/>
      <c r="BK99" s="956"/>
      <c r="BL99" s="956"/>
      <c r="BM99" s="956"/>
      <c r="BN99" s="956"/>
      <c r="BO99" s="956"/>
      <c r="BP99" s="956"/>
      <c r="BQ99" s="956"/>
      <c r="BR99" s="956"/>
      <c r="BS99" s="956"/>
      <c r="BT99" s="956"/>
      <c r="BU99" s="956"/>
      <c r="BV99" s="956"/>
      <c r="BW99" s="956"/>
      <c r="BX99" s="956"/>
      <c r="BY99" s="956"/>
      <c r="BZ99" s="956"/>
      <c r="CA99" s="956"/>
      <c r="CB99" s="956"/>
      <c r="CC99" s="956"/>
      <c r="CD99" s="956"/>
      <c r="CE99" s="956"/>
      <c r="CF99" s="956"/>
      <c r="CG99" s="956"/>
      <c r="CH99" s="956"/>
      <c r="CI99" s="956"/>
      <c r="CJ99" s="956"/>
      <c r="CK99" s="956"/>
      <c r="CL99" s="956"/>
      <c r="CM99" s="956"/>
      <c r="CN99" s="956"/>
      <c r="CO99" s="956"/>
      <c r="CP99" s="956"/>
      <c r="CQ99" s="956"/>
      <c r="CR99" s="956"/>
      <c r="CS99" s="956"/>
      <c r="CT99" s="956"/>
      <c r="CU99" s="956"/>
      <c r="CV99" s="956"/>
      <c r="CW99" s="956"/>
      <c r="CX99" s="961">
        <f>CY99+CZ99+DA99</f>
        <v>4524.7999999999993</v>
      </c>
      <c r="CY99" s="961" t="str">
        <f>TEXT(CL96,"#,###.0")</f>
        <v>2,248.7</v>
      </c>
      <c r="CZ99" s="961" t="str">
        <f>TEXT(BZ97,"#,###.0")</f>
        <v>818.5</v>
      </c>
      <c r="DA99" s="962" t="str">
        <f>TEXT(CA98,"#,###.0")</f>
        <v>1,457.6</v>
      </c>
      <c r="DB99" s="959"/>
    </row>
    <row r="100" spans="2:106" ht="11.25" customHeight="1">
      <c r="B100" s="960"/>
      <c r="C100" s="956"/>
      <c r="D100" s="956"/>
      <c r="E100" s="956"/>
      <c r="F100" s="956"/>
      <c r="G100" s="956"/>
      <c r="H100" s="956"/>
      <c r="I100" s="956"/>
      <c r="J100" s="956"/>
      <c r="K100" s="956"/>
      <c r="L100" s="956"/>
      <c r="M100" s="956"/>
      <c r="N100" s="956"/>
      <c r="O100" s="956"/>
      <c r="P100" s="956"/>
      <c r="Q100" s="956"/>
      <c r="R100" s="956"/>
      <c r="S100" s="956"/>
      <c r="T100" s="956"/>
      <c r="U100" s="956"/>
      <c r="V100" s="956"/>
      <c r="W100" s="956"/>
      <c r="X100" s="956"/>
      <c r="Y100" s="956"/>
      <c r="Z100" s="956"/>
      <c r="AA100" s="956"/>
      <c r="AB100" s="956"/>
      <c r="AC100" s="956"/>
      <c r="AD100" s="956"/>
      <c r="AE100" s="956"/>
      <c r="AF100" s="956"/>
      <c r="AG100" s="956"/>
      <c r="AH100" s="956"/>
      <c r="AI100" s="956"/>
      <c r="AJ100" s="956"/>
      <c r="AK100" s="956"/>
      <c r="AL100" s="956"/>
      <c r="AM100" s="956"/>
      <c r="AN100" s="956"/>
      <c r="AO100" s="956"/>
      <c r="AP100" s="956"/>
      <c r="AQ100" s="956"/>
      <c r="AR100" s="956"/>
      <c r="AS100" s="956"/>
      <c r="AT100" s="956"/>
      <c r="AU100" s="956"/>
      <c r="AV100" s="956"/>
      <c r="AW100" s="956"/>
      <c r="AX100" s="956"/>
      <c r="AY100" s="956"/>
      <c r="AZ100" s="956"/>
      <c r="BA100" s="956"/>
      <c r="BB100" s="956"/>
      <c r="BC100" s="956"/>
      <c r="BD100" s="956"/>
      <c r="BE100" s="956"/>
      <c r="BF100" s="956"/>
      <c r="BG100" s="956"/>
      <c r="BH100" s="956"/>
      <c r="BI100" s="956"/>
      <c r="BJ100" s="956"/>
      <c r="BK100" s="956"/>
      <c r="BL100" s="956"/>
      <c r="BM100" s="956"/>
      <c r="BN100" s="956"/>
      <c r="BO100" s="956"/>
      <c r="BP100" s="956"/>
      <c r="BQ100" s="956"/>
      <c r="BR100" s="956"/>
      <c r="BS100" s="956"/>
      <c r="BT100" s="956"/>
      <c r="BU100" s="956"/>
      <c r="BV100" s="956"/>
      <c r="BW100" s="956"/>
      <c r="BX100" s="956"/>
      <c r="BY100" s="956"/>
      <c r="BZ100" s="956"/>
      <c r="CA100" s="956"/>
      <c r="CB100" s="956"/>
      <c r="CC100" s="956"/>
      <c r="CD100" s="956"/>
      <c r="CE100" s="956"/>
      <c r="CF100" s="956"/>
      <c r="CG100" s="956"/>
      <c r="CH100" s="956"/>
      <c r="CI100" s="956"/>
      <c r="CJ100" s="956"/>
      <c r="CK100" s="956"/>
      <c r="CL100" s="956"/>
      <c r="CM100" s="956"/>
      <c r="CN100" s="956"/>
      <c r="CO100" s="956"/>
      <c r="CP100" s="956"/>
      <c r="CQ100" s="956"/>
      <c r="CR100" s="956"/>
      <c r="CS100" s="956"/>
      <c r="CT100" s="956"/>
      <c r="CU100" s="956"/>
      <c r="CV100" s="956"/>
      <c r="CW100" s="956"/>
      <c r="CX100" s="961"/>
      <c r="CY100" s="961"/>
      <c r="CZ100" s="961"/>
      <c r="DA100" s="962"/>
      <c r="DB100" s="959"/>
    </row>
    <row r="101" spans="2:106" ht="11.25" customHeight="1">
      <c r="B101" s="960"/>
      <c r="C101" s="956"/>
      <c r="D101" s="956" t="s">
        <v>2614</v>
      </c>
      <c r="E101" s="956"/>
      <c r="F101" s="956"/>
      <c r="G101" s="956" t="s">
        <v>2613</v>
      </c>
      <c r="H101" s="956"/>
      <c r="I101" s="956"/>
      <c r="J101" s="956"/>
      <c r="K101" s="956" t="s">
        <v>617</v>
      </c>
      <c r="L101" s="956"/>
      <c r="M101" s="956"/>
      <c r="N101" s="956"/>
      <c r="O101" s="956"/>
      <c r="P101" s="956"/>
      <c r="Q101" s="956"/>
      <c r="R101" s="956"/>
      <c r="S101" s="956"/>
      <c r="T101" s="956"/>
      <c r="U101" s="956"/>
      <c r="V101" s="956"/>
      <c r="W101" s="956"/>
      <c r="X101" s="956"/>
      <c r="Y101" s="956"/>
      <c r="Z101" s="956"/>
      <c r="AA101" s="956"/>
      <c r="AB101" s="956"/>
      <c r="AC101" s="956"/>
      <c r="AD101" s="956"/>
      <c r="AE101" s="956"/>
      <c r="AF101" s="956"/>
      <c r="AG101" s="956"/>
      <c r="AH101" s="956"/>
      <c r="AI101" s="956"/>
      <c r="AJ101" s="956"/>
      <c r="AK101" s="956"/>
      <c r="AL101" s="956"/>
      <c r="AM101" s="956"/>
      <c r="AN101" s="956"/>
      <c r="AO101" s="956"/>
      <c r="AP101" s="956"/>
      <c r="AQ101" s="956"/>
      <c r="AR101" s="956"/>
      <c r="AS101" s="956"/>
      <c r="AT101" s="956"/>
      <c r="AU101" s="956"/>
      <c r="AV101" s="956"/>
      <c r="AW101" s="956"/>
      <c r="AX101" s="956"/>
      <c r="AY101" s="956"/>
      <c r="AZ101" s="956"/>
      <c r="BA101" s="956"/>
      <c r="BB101" s="956"/>
      <c r="BC101" s="956"/>
      <c r="BD101" s="956"/>
      <c r="BE101" s="956"/>
      <c r="BF101" s="956"/>
      <c r="BG101" s="956"/>
      <c r="BH101" s="956"/>
      <c r="BI101" s="956"/>
      <c r="BJ101" s="956"/>
      <c r="BK101" s="956"/>
      <c r="BL101" s="956"/>
      <c r="BM101" s="956"/>
      <c r="BN101" s="956"/>
      <c r="BO101" s="956"/>
      <c r="BP101" s="956"/>
      <c r="BQ101" s="956"/>
      <c r="BR101" s="956"/>
      <c r="BS101" s="956"/>
      <c r="BT101" s="956"/>
      <c r="BU101" s="956"/>
      <c r="BV101" s="956"/>
      <c r="BW101" s="956"/>
      <c r="BX101" s="956"/>
      <c r="BY101" s="956"/>
      <c r="BZ101" s="956"/>
      <c r="CA101" s="956"/>
      <c r="CB101" s="956"/>
      <c r="CC101" s="956"/>
      <c r="CD101" s="956"/>
      <c r="CE101" s="956"/>
      <c r="CF101" s="956"/>
      <c r="CG101" s="956"/>
      <c r="CH101" s="956"/>
      <c r="CI101" s="956"/>
      <c r="CJ101" s="956"/>
      <c r="CK101" s="956"/>
      <c r="CL101" s="956"/>
      <c r="CM101" s="956"/>
      <c r="CN101" s="956"/>
      <c r="CO101" s="956"/>
      <c r="CP101" s="956"/>
      <c r="CQ101" s="956"/>
      <c r="CR101" s="956"/>
      <c r="CS101" s="956"/>
      <c r="CT101" s="956"/>
      <c r="CU101" s="956"/>
      <c r="CV101" s="956"/>
      <c r="CW101" s="956"/>
      <c r="CX101" s="961"/>
      <c r="CY101" s="961"/>
      <c r="CZ101" s="961"/>
      <c r="DA101" s="962"/>
      <c r="DB101" s="959"/>
    </row>
    <row r="102" spans="2:106" ht="11.25" customHeight="1">
      <c r="B102" s="960"/>
      <c r="C102" s="956"/>
      <c r="D102" s="956"/>
      <c r="E102" s="956"/>
      <c r="F102" s="956"/>
      <c r="G102" s="956"/>
      <c r="H102" s="956"/>
      <c r="I102" s="956"/>
      <c r="J102" s="956"/>
      <c r="K102" s="956"/>
      <c r="L102" s="956"/>
      <c r="M102" s="956"/>
      <c r="N102" s="956"/>
      <c r="O102" s="956"/>
      <c r="P102" s="956"/>
      <c r="Q102" s="956"/>
      <c r="R102" s="956"/>
      <c r="S102" s="956"/>
      <c r="T102" s="956"/>
      <c r="U102" s="956"/>
      <c r="V102" s="956"/>
      <c r="W102" s="956"/>
      <c r="X102" s="956"/>
      <c r="Y102" s="956"/>
      <c r="Z102" s="956"/>
      <c r="AA102" s="956"/>
      <c r="AB102" s="956"/>
      <c r="AC102" s="956"/>
      <c r="AD102" s="956"/>
      <c r="AE102" s="956"/>
      <c r="AF102" s="956"/>
      <c r="AG102" s="956"/>
      <c r="AH102" s="956"/>
      <c r="AI102" s="956"/>
      <c r="AJ102" s="956"/>
      <c r="AK102" s="956"/>
      <c r="AL102" s="956"/>
      <c r="AM102" s="956"/>
      <c r="AN102" s="956"/>
      <c r="AO102" s="956"/>
      <c r="AP102" s="956"/>
      <c r="AQ102" s="956"/>
      <c r="AR102" s="956"/>
      <c r="AS102" s="956"/>
      <c r="AT102" s="956"/>
      <c r="AU102" s="956"/>
      <c r="AV102" s="956"/>
      <c r="AW102" s="956"/>
      <c r="AX102" s="956"/>
      <c r="AY102" s="956"/>
      <c r="AZ102" s="956"/>
      <c r="BA102" s="956"/>
      <c r="BB102" s="956"/>
      <c r="BC102" s="956"/>
      <c r="BD102" s="956"/>
      <c r="BE102" s="956"/>
      <c r="BF102" s="956"/>
      <c r="BG102" s="956"/>
      <c r="BH102" s="956"/>
      <c r="BI102" s="956"/>
      <c r="BJ102" s="956"/>
      <c r="BK102" s="956"/>
      <c r="BL102" s="956"/>
      <c r="BM102" s="956"/>
      <c r="BN102" s="956"/>
      <c r="BO102" s="956"/>
      <c r="BP102" s="956"/>
      <c r="BQ102" s="956"/>
      <c r="BR102" s="956"/>
      <c r="BS102" s="956"/>
      <c r="BT102" s="956"/>
      <c r="BU102" s="956"/>
      <c r="BV102" s="956"/>
      <c r="BW102" s="956"/>
      <c r="BX102" s="956"/>
      <c r="BY102" s="956"/>
      <c r="BZ102" s="956"/>
      <c r="CA102" s="956"/>
      <c r="CB102" s="956"/>
      <c r="CC102" s="956"/>
      <c r="CD102" s="956"/>
      <c r="CE102" s="956"/>
      <c r="CF102" s="956"/>
      <c r="CG102" s="956"/>
      <c r="CH102" s="956"/>
      <c r="CI102" s="956"/>
      <c r="CJ102" s="956"/>
      <c r="CK102" s="956"/>
      <c r="CL102" s="956"/>
      <c r="CM102" s="956"/>
      <c r="CN102" s="956"/>
      <c r="CO102" s="956"/>
      <c r="CP102" s="956"/>
      <c r="CQ102" s="956"/>
      <c r="CR102" s="956"/>
      <c r="CS102" s="956"/>
      <c r="CT102" s="956"/>
      <c r="CU102" s="956"/>
      <c r="CV102" s="956"/>
      <c r="CW102" s="956"/>
      <c r="CX102" s="961"/>
      <c r="CY102" s="961"/>
      <c r="CZ102" s="961"/>
      <c r="DA102" s="962"/>
      <c r="DB102" s="959"/>
    </row>
    <row r="103" spans="2:106" ht="11.25" customHeight="1">
      <c r="B103" s="960"/>
      <c r="C103" s="956"/>
      <c r="D103" s="956"/>
      <c r="E103" s="956"/>
      <c r="F103" s="956"/>
      <c r="G103" s="956"/>
      <c r="H103" s="956" t="s">
        <v>1168</v>
      </c>
      <c r="I103" s="956"/>
      <c r="J103" s="956"/>
      <c r="K103" s="956"/>
      <c r="L103" s="956"/>
      <c r="M103" s="956"/>
      <c r="N103" s="956"/>
      <c r="O103" s="956" t="s">
        <v>2606</v>
      </c>
      <c r="P103" s="956"/>
      <c r="Q103" s="956" t="str">
        <f>TEXT(CY21,"#,###.##")</f>
        <v>784.1</v>
      </c>
      <c r="R103" s="956"/>
      <c r="S103" s="956"/>
      <c r="T103" s="956"/>
      <c r="U103" s="956"/>
      <c r="V103" s="956"/>
      <c r="W103" s="956" t="s">
        <v>2603</v>
      </c>
      <c r="X103" s="956"/>
      <c r="Y103" s="956" t="str">
        <f>TEXT(CY99,"#,###.##")</f>
        <v>2,248.7</v>
      </c>
      <c r="Z103" s="956"/>
      <c r="AA103" s="956"/>
      <c r="AB103" s="956"/>
      <c r="AC103" s="956"/>
      <c r="AD103" s="956"/>
      <c r="AE103" s="956"/>
      <c r="AF103" s="956"/>
      <c r="AG103" s="956" t="s">
        <v>1167</v>
      </c>
      <c r="AH103" s="956"/>
      <c r="AI103" s="956"/>
      <c r="AJ103" s="956" t="str">
        <f>TEXT(TRUNC(CY21+CY99,0),"#,##0")</f>
        <v>3,032</v>
      </c>
      <c r="AK103" s="956"/>
      <c r="AL103" s="956"/>
      <c r="AM103" s="956"/>
      <c r="AN103" s="956"/>
      <c r="AO103" s="956"/>
      <c r="AP103" s="956"/>
      <c r="AQ103" s="956"/>
      <c r="AR103" s="956"/>
      <c r="AS103" s="956"/>
      <c r="AT103" s="956"/>
      <c r="AU103" s="956"/>
      <c r="AV103" s="956"/>
      <c r="AW103" s="956"/>
      <c r="AX103" s="956"/>
      <c r="AY103" s="956"/>
      <c r="AZ103" s="956"/>
      <c r="BA103" s="956"/>
      <c r="BB103" s="956"/>
      <c r="BC103" s="956"/>
      <c r="BD103" s="956"/>
      <c r="BE103" s="956"/>
      <c r="BF103" s="956"/>
      <c r="BG103" s="956"/>
      <c r="BH103" s="956"/>
      <c r="BI103" s="956"/>
      <c r="BJ103" s="956"/>
      <c r="BK103" s="956"/>
      <c r="BL103" s="956"/>
      <c r="BM103" s="956"/>
      <c r="BN103" s="956"/>
      <c r="BO103" s="956"/>
      <c r="BP103" s="956"/>
      <c r="BQ103" s="956"/>
      <c r="BR103" s="956"/>
      <c r="BS103" s="956"/>
      <c r="BT103" s="956"/>
      <c r="BU103" s="956"/>
      <c r="BV103" s="956"/>
      <c r="BW103" s="956"/>
      <c r="BX103" s="956"/>
      <c r="BY103" s="956"/>
      <c r="BZ103" s="956"/>
      <c r="CA103" s="956"/>
      <c r="CB103" s="956"/>
      <c r="CC103" s="956"/>
      <c r="CD103" s="956"/>
      <c r="CE103" s="956"/>
      <c r="CF103" s="956"/>
      <c r="CG103" s="956"/>
      <c r="CH103" s="956"/>
      <c r="CI103" s="956"/>
      <c r="CJ103" s="956"/>
      <c r="CK103" s="956"/>
      <c r="CL103" s="956"/>
      <c r="CM103" s="956"/>
      <c r="CN103" s="956"/>
      <c r="CO103" s="956"/>
      <c r="CP103" s="956"/>
      <c r="CQ103" s="956"/>
      <c r="CR103" s="956"/>
      <c r="CS103" s="956"/>
      <c r="CT103" s="956"/>
      <c r="CU103" s="956"/>
      <c r="CV103" s="956"/>
      <c r="CW103" s="956"/>
      <c r="CX103" s="961"/>
      <c r="CY103" s="961"/>
      <c r="CZ103" s="961"/>
      <c r="DA103" s="962"/>
      <c r="DB103" s="959"/>
    </row>
    <row r="104" spans="2:106" ht="11.25" customHeight="1">
      <c r="B104" s="960"/>
      <c r="C104" s="956"/>
      <c r="D104" s="956"/>
      <c r="E104" s="956"/>
      <c r="F104" s="956"/>
      <c r="G104" s="956"/>
      <c r="H104" s="956" t="s">
        <v>1169</v>
      </c>
      <c r="I104" s="956"/>
      <c r="J104" s="956"/>
      <c r="K104" s="956"/>
      <c r="L104" s="956"/>
      <c r="M104" s="956"/>
      <c r="N104" s="956"/>
      <c r="O104" s="956" t="s">
        <v>2606</v>
      </c>
      <c r="P104" s="956"/>
      <c r="Q104" s="956" t="str">
        <f>TEXT(CZ27,"#,###.##")</f>
        <v>289.9</v>
      </c>
      <c r="R104" s="956"/>
      <c r="S104" s="956"/>
      <c r="T104" s="956"/>
      <c r="U104" s="956"/>
      <c r="V104" s="956"/>
      <c r="W104" s="956" t="s">
        <v>2603</v>
      </c>
      <c r="X104" s="956"/>
      <c r="Y104" s="956" t="str">
        <f>TEXT(CZ99,"#,###.##")</f>
        <v>818.5</v>
      </c>
      <c r="Z104" s="956"/>
      <c r="AA104" s="956"/>
      <c r="AB104" s="956"/>
      <c r="AC104" s="956"/>
      <c r="AD104" s="956"/>
      <c r="AE104" s="956" t="s">
        <v>1167</v>
      </c>
      <c r="AF104" s="956"/>
      <c r="AG104" s="956"/>
      <c r="AH104" s="956" t="str">
        <f>TEXT(TRUNC(CZ27+CZ99,0),"#,##0")</f>
        <v>1,108</v>
      </c>
      <c r="AI104" s="956"/>
      <c r="AJ104" s="956"/>
      <c r="AK104" s="956"/>
      <c r="AL104" s="956"/>
      <c r="AM104" s="956"/>
      <c r="AN104" s="956"/>
      <c r="AO104" s="956"/>
      <c r="AP104" s="956"/>
      <c r="AQ104" s="956"/>
      <c r="AR104" s="956"/>
      <c r="AS104" s="956"/>
      <c r="AT104" s="956"/>
      <c r="AU104" s="956"/>
      <c r="AV104" s="956"/>
      <c r="AW104" s="956"/>
      <c r="AX104" s="956"/>
      <c r="AY104" s="956"/>
      <c r="AZ104" s="956"/>
      <c r="BA104" s="956"/>
      <c r="BB104" s="956"/>
      <c r="BC104" s="956"/>
      <c r="BD104" s="956"/>
      <c r="BE104" s="956"/>
      <c r="BF104" s="956"/>
      <c r="BG104" s="956"/>
      <c r="BH104" s="956"/>
      <c r="BI104" s="956"/>
      <c r="BJ104" s="956"/>
      <c r="BK104" s="956"/>
      <c r="BL104" s="956"/>
      <c r="BM104" s="956"/>
      <c r="BN104" s="956"/>
      <c r="BO104" s="956"/>
      <c r="BP104" s="956"/>
      <c r="BQ104" s="956"/>
      <c r="BR104" s="956"/>
      <c r="BS104" s="956"/>
      <c r="BT104" s="956"/>
      <c r="BU104" s="956"/>
      <c r="BV104" s="956"/>
      <c r="BW104" s="956"/>
      <c r="BX104" s="956"/>
      <c r="BY104" s="956"/>
      <c r="BZ104" s="956"/>
      <c r="CA104" s="956"/>
      <c r="CB104" s="956"/>
      <c r="CC104" s="956"/>
      <c r="CD104" s="956"/>
      <c r="CE104" s="956"/>
      <c r="CF104" s="956"/>
      <c r="CG104" s="956"/>
      <c r="CH104" s="956"/>
      <c r="CI104" s="956"/>
      <c r="CJ104" s="956"/>
      <c r="CK104" s="956"/>
      <c r="CL104" s="956"/>
      <c r="CM104" s="956"/>
      <c r="CN104" s="956"/>
      <c r="CO104" s="956"/>
      <c r="CP104" s="956"/>
      <c r="CQ104" s="956"/>
      <c r="CR104" s="956"/>
      <c r="CS104" s="956"/>
      <c r="CT104" s="956"/>
      <c r="CU104" s="956"/>
      <c r="CV104" s="956"/>
      <c r="CW104" s="956"/>
      <c r="CX104" s="961"/>
      <c r="CY104" s="961"/>
      <c r="CZ104" s="961"/>
      <c r="DA104" s="962"/>
      <c r="DB104" s="959"/>
    </row>
    <row r="105" spans="2:106" ht="11.25" customHeight="1">
      <c r="B105" s="960"/>
      <c r="C105" s="956"/>
      <c r="D105" s="956"/>
      <c r="E105" s="956"/>
      <c r="F105" s="956"/>
      <c r="G105" s="956"/>
      <c r="H105" s="956" t="s">
        <v>2608</v>
      </c>
      <c r="I105" s="956"/>
      <c r="J105" s="956"/>
      <c r="K105" s="956"/>
      <c r="L105" s="956" t="s">
        <v>2609</v>
      </c>
      <c r="M105" s="956"/>
      <c r="N105" s="956"/>
      <c r="O105" s="956" t="s">
        <v>2606</v>
      </c>
      <c r="P105" s="956"/>
      <c r="Q105" s="956" t="str">
        <f>TEXT(TRUNC(DA99,0),"#,##0")</f>
        <v>1,457</v>
      </c>
      <c r="R105" s="956"/>
      <c r="S105" s="956"/>
      <c r="T105" s="956"/>
      <c r="U105" s="956"/>
      <c r="V105" s="956"/>
      <c r="W105" s="956"/>
      <c r="X105" s="956"/>
      <c r="Y105" s="956"/>
      <c r="Z105" s="956"/>
      <c r="AA105" s="956"/>
      <c r="AB105" s="956"/>
      <c r="AC105" s="956"/>
      <c r="AD105" s="956"/>
      <c r="AE105" s="956"/>
      <c r="AF105" s="956"/>
      <c r="AG105" s="956"/>
      <c r="AH105" s="956"/>
      <c r="AI105" s="956"/>
      <c r="AJ105" s="956"/>
      <c r="AK105" s="956"/>
      <c r="AL105" s="956"/>
      <c r="AM105" s="956"/>
      <c r="AN105" s="956"/>
      <c r="AO105" s="956"/>
      <c r="AP105" s="956"/>
      <c r="AQ105" s="956"/>
      <c r="AR105" s="956"/>
      <c r="AS105" s="956"/>
      <c r="AT105" s="956"/>
      <c r="AU105" s="956"/>
      <c r="AV105" s="956"/>
      <c r="AW105" s="956"/>
      <c r="AX105" s="956"/>
      <c r="AY105" s="956"/>
      <c r="AZ105" s="956"/>
      <c r="BA105" s="956"/>
      <c r="BB105" s="956"/>
      <c r="BC105" s="956"/>
      <c r="BD105" s="956"/>
      <c r="BE105" s="956"/>
      <c r="BF105" s="956"/>
      <c r="BG105" s="956"/>
      <c r="BH105" s="956"/>
      <c r="BI105" s="956"/>
      <c r="BJ105" s="956"/>
      <c r="BK105" s="956"/>
      <c r="BL105" s="956"/>
      <c r="BM105" s="956"/>
      <c r="BN105" s="956"/>
      <c r="BO105" s="956"/>
      <c r="BP105" s="956"/>
      <c r="BQ105" s="956"/>
      <c r="BR105" s="956"/>
      <c r="BS105" s="956"/>
      <c r="BT105" s="956"/>
      <c r="BU105" s="956"/>
      <c r="BV105" s="956"/>
      <c r="BW105" s="956"/>
      <c r="BX105" s="956"/>
      <c r="BY105" s="956"/>
      <c r="BZ105" s="956"/>
      <c r="CA105" s="956"/>
      <c r="CB105" s="956"/>
      <c r="CC105" s="956"/>
      <c r="CD105" s="956"/>
      <c r="CE105" s="956"/>
      <c r="CF105" s="956"/>
      <c r="CG105" s="956"/>
      <c r="CH105" s="956"/>
      <c r="CI105" s="956"/>
      <c r="CJ105" s="956"/>
      <c r="CK105" s="956"/>
      <c r="CL105" s="956"/>
      <c r="CM105" s="956"/>
      <c r="CN105" s="956"/>
      <c r="CO105" s="956"/>
      <c r="CP105" s="956"/>
      <c r="CQ105" s="956"/>
      <c r="CR105" s="956"/>
      <c r="CS105" s="956"/>
      <c r="CT105" s="956"/>
      <c r="CU105" s="956"/>
      <c r="CV105" s="956"/>
      <c r="CW105" s="956"/>
      <c r="CX105" s="961"/>
      <c r="CY105" s="961"/>
      <c r="CZ105" s="961"/>
      <c r="DA105" s="962"/>
      <c r="DB105" s="959"/>
    </row>
    <row r="106" spans="2:106" ht="11.25" customHeight="1">
      <c r="B106" s="960"/>
      <c r="C106" s="956"/>
      <c r="D106" s="956"/>
      <c r="E106" s="956"/>
      <c r="F106" s="956"/>
      <c r="G106" s="956"/>
      <c r="H106" s="956"/>
      <c r="I106" s="956"/>
      <c r="J106" s="956" t="s">
        <v>617</v>
      </c>
      <c r="K106" s="956"/>
      <c r="L106" s="956"/>
      <c r="M106" s="956"/>
      <c r="N106" s="956"/>
      <c r="O106" s="956" t="s">
        <v>2606</v>
      </c>
      <c r="P106" s="956"/>
      <c r="Q106" s="956"/>
      <c r="R106" s="956" t="str">
        <f>TEXT(AJ103+AH104+Q105,"#,##0")</f>
        <v>5,597</v>
      </c>
      <c r="S106" s="956"/>
      <c r="T106" s="956"/>
      <c r="U106" s="956"/>
      <c r="V106" s="956"/>
      <c r="W106" s="956"/>
      <c r="X106" s="956"/>
      <c r="Y106" s="956"/>
      <c r="Z106" s="956"/>
      <c r="AA106" s="956"/>
      <c r="AB106" s="956"/>
      <c r="AC106" s="956"/>
      <c r="AD106" s="956"/>
      <c r="AE106" s="956"/>
      <c r="AF106" s="956"/>
      <c r="AG106" s="956"/>
      <c r="AH106" s="956"/>
      <c r="AI106" s="956"/>
      <c r="AJ106" s="956"/>
      <c r="AK106" s="956"/>
      <c r="AL106" s="956"/>
      <c r="AM106" s="956"/>
      <c r="AN106" s="956"/>
      <c r="AO106" s="956"/>
      <c r="AP106" s="956"/>
      <c r="AQ106" s="956"/>
      <c r="AR106" s="956"/>
      <c r="AS106" s="956"/>
      <c r="AT106" s="956"/>
      <c r="AU106" s="956"/>
      <c r="AV106" s="956"/>
      <c r="AW106" s="956"/>
      <c r="AX106" s="956"/>
      <c r="AY106" s="956"/>
      <c r="AZ106" s="956"/>
      <c r="BA106" s="956"/>
      <c r="BB106" s="956"/>
      <c r="BC106" s="956"/>
      <c r="BD106" s="956"/>
      <c r="BE106" s="956"/>
      <c r="BF106" s="956"/>
      <c r="BG106" s="956"/>
      <c r="BH106" s="956"/>
      <c r="BI106" s="956"/>
      <c r="BJ106" s="956"/>
      <c r="BK106" s="956"/>
      <c r="BL106" s="956"/>
      <c r="BM106" s="956"/>
      <c r="BN106" s="956"/>
      <c r="BO106" s="956"/>
      <c r="BP106" s="956"/>
      <c r="BQ106" s="956"/>
      <c r="BR106" s="956"/>
      <c r="BS106" s="956"/>
      <c r="BT106" s="956"/>
      <c r="BU106" s="956"/>
      <c r="BV106" s="956"/>
      <c r="BW106" s="956"/>
      <c r="BX106" s="956"/>
      <c r="BY106" s="956"/>
      <c r="BZ106" s="956"/>
      <c r="CA106" s="956"/>
      <c r="CB106" s="956"/>
      <c r="CC106" s="956"/>
      <c r="CD106" s="956"/>
      <c r="CE106" s="956"/>
      <c r="CF106" s="956"/>
      <c r="CG106" s="956"/>
      <c r="CH106" s="956"/>
      <c r="CI106" s="956"/>
      <c r="CJ106" s="956"/>
      <c r="CK106" s="956"/>
      <c r="CL106" s="956"/>
      <c r="CM106" s="956"/>
      <c r="CN106" s="956"/>
      <c r="CO106" s="956"/>
      <c r="CP106" s="956"/>
      <c r="CQ106" s="956"/>
      <c r="CR106" s="956"/>
      <c r="CS106" s="956"/>
      <c r="CT106" s="956"/>
      <c r="CU106" s="956"/>
      <c r="CV106" s="956"/>
      <c r="CW106" s="956"/>
      <c r="CX106" s="963">
        <f>CY106+CZ106+DA106</f>
        <v>5597</v>
      </c>
      <c r="CY106" s="961" t="str">
        <f>TEXT(AJ103,"#,##0")</f>
        <v>3,032</v>
      </c>
      <c r="CZ106" s="961" t="str">
        <f>TEXT(AH104,"#,##0")</f>
        <v>1,108</v>
      </c>
      <c r="DA106" s="962" t="str">
        <f>TEXT(Q105,"#,##0")</f>
        <v>1,457</v>
      </c>
      <c r="DB106" s="959"/>
    </row>
    <row r="107" spans="2:106" ht="11.25" customHeight="1">
      <c r="B107" s="964"/>
      <c r="C107" s="965"/>
      <c r="D107" s="965"/>
      <c r="E107" s="965"/>
      <c r="F107" s="965"/>
      <c r="G107" s="965"/>
      <c r="H107" s="965"/>
      <c r="I107" s="965"/>
      <c r="J107" s="965"/>
      <c r="K107" s="965"/>
      <c r="L107" s="965"/>
      <c r="M107" s="965"/>
      <c r="N107" s="965"/>
      <c r="O107" s="965"/>
      <c r="P107" s="965"/>
      <c r="Q107" s="965"/>
      <c r="R107" s="965"/>
      <c r="S107" s="965"/>
      <c r="T107" s="965"/>
      <c r="U107" s="965"/>
      <c r="V107" s="965"/>
      <c r="W107" s="965"/>
      <c r="X107" s="965"/>
      <c r="Y107" s="965"/>
      <c r="Z107" s="965"/>
      <c r="AA107" s="965"/>
      <c r="AB107" s="965"/>
      <c r="AC107" s="965"/>
      <c r="AD107" s="965"/>
      <c r="AE107" s="965"/>
      <c r="AF107" s="965"/>
      <c r="AG107" s="965"/>
      <c r="AH107" s="965"/>
      <c r="AI107" s="965"/>
      <c r="AJ107" s="965"/>
      <c r="AK107" s="965"/>
      <c r="AL107" s="965"/>
      <c r="AM107" s="965"/>
      <c r="AN107" s="965"/>
      <c r="AO107" s="965"/>
      <c r="AP107" s="965"/>
      <c r="AQ107" s="965"/>
      <c r="AR107" s="965"/>
      <c r="AS107" s="965"/>
      <c r="AT107" s="965"/>
      <c r="AU107" s="965"/>
      <c r="AV107" s="965"/>
      <c r="AW107" s="965"/>
      <c r="AX107" s="965"/>
      <c r="AY107" s="965"/>
      <c r="AZ107" s="965"/>
      <c r="BA107" s="965"/>
      <c r="BB107" s="965"/>
      <c r="BC107" s="965"/>
      <c r="BD107" s="965"/>
      <c r="BE107" s="965"/>
      <c r="BF107" s="965"/>
      <c r="BG107" s="965"/>
      <c r="BH107" s="965"/>
      <c r="BI107" s="965"/>
      <c r="BJ107" s="965"/>
      <c r="BK107" s="965"/>
      <c r="BL107" s="965"/>
      <c r="BM107" s="965"/>
      <c r="BN107" s="965"/>
      <c r="BO107" s="965"/>
      <c r="BP107" s="965"/>
      <c r="BQ107" s="965"/>
      <c r="BR107" s="965"/>
      <c r="BS107" s="965"/>
      <c r="BT107" s="965"/>
      <c r="BU107" s="965"/>
      <c r="BV107" s="965"/>
      <c r="BW107" s="965"/>
      <c r="BX107" s="965"/>
      <c r="BY107" s="965"/>
      <c r="BZ107" s="965"/>
      <c r="CA107" s="965"/>
      <c r="CB107" s="965"/>
      <c r="CC107" s="965"/>
      <c r="CD107" s="965"/>
      <c r="CE107" s="965"/>
      <c r="CF107" s="965"/>
      <c r="CG107" s="965"/>
      <c r="CH107" s="965"/>
      <c r="CI107" s="965"/>
      <c r="CJ107" s="965"/>
      <c r="CK107" s="965"/>
      <c r="CL107" s="965"/>
      <c r="CM107" s="965"/>
      <c r="CN107" s="965"/>
      <c r="CO107" s="965"/>
      <c r="CP107" s="965"/>
      <c r="CQ107" s="965"/>
      <c r="CR107" s="965"/>
      <c r="CS107" s="965"/>
      <c r="CT107" s="965"/>
      <c r="CU107" s="965"/>
      <c r="CV107" s="965"/>
      <c r="CW107" s="965"/>
      <c r="CX107" s="966"/>
      <c r="CY107" s="966"/>
      <c r="CZ107" s="966"/>
      <c r="DA107" s="967"/>
      <c r="DB107" s="959"/>
    </row>
  </sheetData>
  <mergeCells count="2">
    <mergeCell ref="B1:DA2"/>
    <mergeCell ref="B3:CW3"/>
  </mergeCells>
  <phoneticPr fontId="3" type="noConversion"/>
  <pageMargins left="0.51181102362204722" right="3.937007874015748E-2" top="0.94488188976377963" bottom="0.59055118110236215" header="0.5" footer="0.5"/>
  <pageSetup paperSize="9" scale="79" fitToHeight="0" orientation="portrait" r:id="rId1"/>
  <headerFooter alignWithMargins="0"/>
  <rowBreaks count="1" manualBreakCount="1">
    <brk id="79" min="1" max="104" man="1"/>
  </rowBreaks>
  <colBreaks count="1" manualBreakCount="1">
    <brk id="1" max="1048575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0"/>
  <dimension ref="A1:H93"/>
  <sheetViews>
    <sheetView view="pageBreakPreview" topLeftCell="A54" zoomScaleNormal="100" zoomScaleSheetLayoutView="100" workbookViewId="0">
      <selection activeCell="E43" sqref="E43"/>
    </sheetView>
  </sheetViews>
  <sheetFormatPr defaultColWidth="8.88671875" defaultRowHeight="20.100000000000001" customHeight="1"/>
  <cols>
    <col min="1" max="1" width="4.33203125" style="10" customWidth="1"/>
    <col min="2" max="2" width="36.109375" style="80" customWidth="1"/>
    <col min="3" max="4" width="6.44140625" style="28" customWidth="1"/>
    <col min="5" max="5" width="15.5546875" style="80" customWidth="1"/>
    <col min="6" max="8" width="15.33203125" style="80" customWidth="1"/>
    <col min="9" max="16384" width="8.88671875" style="10"/>
  </cols>
  <sheetData>
    <row r="1" spans="1:8" ht="20.100000000000001" customHeight="1">
      <c r="A1" s="1109" t="s">
        <v>1361</v>
      </c>
      <c r="B1" s="1109"/>
      <c r="C1" s="25"/>
      <c r="D1" s="25"/>
      <c r="E1" s="26"/>
      <c r="F1" s="26"/>
      <c r="G1" s="26"/>
      <c r="H1" s="26"/>
    </row>
    <row r="2" spans="1:8" ht="31.5" customHeight="1">
      <c r="A2" s="377" t="s">
        <v>1407</v>
      </c>
      <c r="B2" s="415" t="s">
        <v>1284</v>
      </c>
      <c r="C2" s="377" t="s">
        <v>680</v>
      </c>
      <c r="D2" s="377" t="s">
        <v>1285</v>
      </c>
      <c r="E2" s="415" t="s">
        <v>597</v>
      </c>
      <c r="F2" s="415" t="s">
        <v>513</v>
      </c>
      <c r="G2" s="415" t="s">
        <v>514</v>
      </c>
      <c r="H2" s="415" t="s">
        <v>598</v>
      </c>
    </row>
    <row r="3" spans="1:8" ht="15" customHeight="1">
      <c r="A3" s="1">
        <v>1</v>
      </c>
      <c r="B3" s="231" t="str">
        <f>기초내역!F4</f>
        <v>인력흙깎기</v>
      </c>
      <c r="C3" s="1">
        <v>1</v>
      </c>
      <c r="D3" s="1" t="s">
        <v>1014</v>
      </c>
      <c r="E3" s="231">
        <f t="shared" ref="E3:E13" si="0">SUM(F3:H3)</f>
        <v>27530</v>
      </c>
      <c r="F3" s="231">
        <f>기초내역!H7</f>
        <v>27530</v>
      </c>
      <c r="G3" s="231">
        <f>기초내역!J7</f>
        <v>0</v>
      </c>
      <c r="H3" s="231">
        <f>기초내역!L7</f>
        <v>0</v>
      </c>
    </row>
    <row r="4" spans="1:8" ht="15" customHeight="1">
      <c r="A4" s="1">
        <v>2</v>
      </c>
      <c r="B4" s="231" t="str">
        <f>기초내역!F8</f>
        <v>인력터파기(보통토사)</v>
      </c>
      <c r="C4" s="1">
        <v>1</v>
      </c>
      <c r="D4" s="1" t="s">
        <v>1014</v>
      </c>
      <c r="E4" s="231">
        <f t="shared" si="0"/>
        <v>34413</v>
      </c>
      <c r="F4" s="231">
        <f>기초내역!H11</f>
        <v>34413</v>
      </c>
      <c r="G4" s="231">
        <f>기초내역!J11</f>
        <v>0</v>
      </c>
      <c r="H4" s="231">
        <f>기초내역!L11</f>
        <v>0</v>
      </c>
    </row>
    <row r="5" spans="1:8" ht="15" customHeight="1">
      <c r="A5" s="1">
        <v>3</v>
      </c>
      <c r="B5" s="231" t="str">
        <f>기초내역!F12</f>
        <v>기계터파기(소형브레이카:보통암)</v>
      </c>
      <c r="C5" s="1">
        <v>1</v>
      </c>
      <c r="D5" s="1" t="s">
        <v>1014</v>
      </c>
      <c r="E5" s="231">
        <f>SUM(F5:H5)</f>
        <v>227063</v>
      </c>
      <c r="F5" s="231">
        <f>기초내역!H19</f>
        <v>211791</v>
      </c>
      <c r="G5" s="231">
        <f>기초내역!J19</f>
        <v>12412</v>
      </c>
      <c r="H5" s="231">
        <f>기초내역!L19</f>
        <v>2860</v>
      </c>
    </row>
    <row r="6" spans="1:8" ht="15" customHeight="1">
      <c r="A6" s="1">
        <v>4</v>
      </c>
      <c r="B6" s="231" t="str">
        <f>기초내역!F20</f>
        <v>선별 및 집석</v>
      </c>
      <c r="C6" s="1">
        <v>1</v>
      </c>
      <c r="D6" s="1" t="s">
        <v>1014</v>
      </c>
      <c r="E6" s="231">
        <f t="shared" si="0"/>
        <v>4864</v>
      </c>
      <c r="F6" s="231">
        <f>기초내역!H22</f>
        <v>2776</v>
      </c>
      <c r="G6" s="231">
        <f>기초내역!J22</f>
        <v>1051</v>
      </c>
      <c r="H6" s="231">
        <f>기초내역!L22</f>
        <v>1037</v>
      </c>
    </row>
    <row r="7" spans="1:8" ht="15" customHeight="1">
      <c r="A7" s="1">
        <v>5</v>
      </c>
      <c r="B7" s="231" t="str">
        <f>기초내역!F23</f>
        <v>인력되메우기(토사)</v>
      </c>
      <c r="C7" s="1">
        <v>1</v>
      </c>
      <c r="D7" s="1" t="s">
        <v>1014</v>
      </c>
      <c r="E7" s="231">
        <f t="shared" si="0"/>
        <v>17206</v>
      </c>
      <c r="F7" s="231">
        <f>기초내역!H26</f>
        <v>17206</v>
      </c>
      <c r="G7" s="231">
        <f>기초내역!J26</f>
        <v>0</v>
      </c>
      <c r="H7" s="231">
        <f>기초내역!L26</f>
        <v>0</v>
      </c>
    </row>
    <row r="8" spans="1:8" ht="15" customHeight="1">
      <c r="A8" s="1">
        <v>6</v>
      </c>
      <c r="B8" s="231" t="str">
        <f>기초내역!F27</f>
        <v>되메우기(토사,백호)</v>
      </c>
      <c r="C8" s="1">
        <v>1</v>
      </c>
      <c r="D8" s="1" t="s">
        <v>1014</v>
      </c>
      <c r="E8" s="231">
        <f t="shared" si="0"/>
        <v>1262</v>
      </c>
      <c r="F8" s="231">
        <f>기초내역!H29</f>
        <v>720</v>
      </c>
      <c r="G8" s="231">
        <f>기초내역!J29</f>
        <v>273</v>
      </c>
      <c r="H8" s="231">
        <f>기초내역!L29</f>
        <v>269</v>
      </c>
    </row>
    <row r="9" spans="1:8" ht="15" customHeight="1">
      <c r="A9" s="1">
        <v>7</v>
      </c>
      <c r="B9" s="231" t="str">
        <f>기초내역!F30</f>
        <v>뒷채움(토사,백호)</v>
      </c>
      <c r="C9" s="1">
        <v>1</v>
      </c>
      <c r="D9" s="1" t="s">
        <v>1014</v>
      </c>
      <c r="E9" s="231">
        <f t="shared" si="0"/>
        <v>1262</v>
      </c>
      <c r="F9" s="231">
        <f>기초내역!H32</f>
        <v>720</v>
      </c>
      <c r="G9" s="231">
        <f>기초내역!J32</f>
        <v>273</v>
      </c>
      <c r="H9" s="231">
        <f>기초내역!L32</f>
        <v>269</v>
      </c>
    </row>
    <row r="10" spans="1:8" ht="15" customHeight="1">
      <c r="A10" s="1">
        <v>8</v>
      </c>
      <c r="B10" s="231" t="str">
        <f>기초내역!F33</f>
        <v>성토다짐(토사:도져+양족식견인)</v>
      </c>
      <c r="C10" s="1">
        <v>1</v>
      </c>
      <c r="D10" s="1" t="s">
        <v>1014</v>
      </c>
      <c r="E10" s="231">
        <f t="shared" si="0"/>
        <v>394</v>
      </c>
      <c r="F10" s="231">
        <f>기초내역!H35</f>
        <v>204</v>
      </c>
      <c r="G10" s="231">
        <f>기초내역!J35</f>
        <v>92</v>
      </c>
      <c r="H10" s="231">
        <f>기초내역!L35</f>
        <v>98</v>
      </c>
    </row>
    <row r="11" spans="1:8" ht="15" customHeight="1">
      <c r="A11" s="1">
        <v>9</v>
      </c>
      <c r="B11" s="231" t="str">
        <f>기초내역!F36</f>
        <v>성토다짐:95%(토사:양족식자주식)</v>
      </c>
      <c r="C11" s="1">
        <v>1</v>
      </c>
      <c r="D11" s="1" t="s">
        <v>1014</v>
      </c>
      <c r="E11" s="231">
        <f t="shared" si="0"/>
        <v>865</v>
      </c>
      <c r="F11" s="231">
        <f>기초내역!H38</f>
        <v>352</v>
      </c>
      <c r="G11" s="231">
        <f>기초내역!J38</f>
        <v>302</v>
      </c>
      <c r="H11" s="231">
        <f>기초내역!L38</f>
        <v>211</v>
      </c>
    </row>
    <row r="12" spans="1:8" ht="15" customHeight="1">
      <c r="A12" s="1">
        <v>10</v>
      </c>
      <c r="B12" s="231" t="str">
        <f>기초내역!F39</f>
        <v>성토다짐(점토:양족식자주식)</v>
      </c>
      <c r="C12" s="1">
        <v>1</v>
      </c>
      <c r="D12" s="1" t="s">
        <v>1014</v>
      </c>
      <c r="E12" s="231">
        <f t="shared" si="0"/>
        <v>1622</v>
      </c>
      <c r="F12" s="231">
        <f>기초내역!H41</f>
        <v>660</v>
      </c>
      <c r="G12" s="231">
        <f>기초내역!J41</f>
        <v>567</v>
      </c>
      <c r="H12" s="231">
        <f>기초내역!L41</f>
        <v>395</v>
      </c>
    </row>
    <row r="13" spans="1:8" ht="15" customHeight="1">
      <c r="A13" s="1">
        <v>11</v>
      </c>
      <c r="B13" s="231" t="str">
        <f>기초내역!F42</f>
        <v>콤펙터다짐</v>
      </c>
      <c r="C13" s="1">
        <v>1</v>
      </c>
      <c r="D13" s="66" t="s">
        <v>1014</v>
      </c>
      <c r="E13" s="231">
        <f t="shared" si="0"/>
        <v>4240</v>
      </c>
      <c r="F13" s="231">
        <f>기초내역!H44</f>
        <v>3956</v>
      </c>
      <c r="G13" s="231">
        <f>기초내역!J44</f>
        <v>226</v>
      </c>
      <c r="H13" s="231">
        <f>기초내역!L44</f>
        <v>58</v>
      </c>
    </row>
    <row r="14" spans="1:8" ht="15" customHeight="1">
      <c r="A14" s="1">
        <v>12</v>
      </c>
      <c r="B14" s="231" t="str">
        <f>기초내역!F45</f>
        <v>줄떼(구입)</v>
      </c>
      <c r="C14" s="1">
        <v>1</v>
      </c>
      <c r="D14" s="1" t="s">
        <v>1016</v>
      </c>
      <c r="E14" s="231">
        <f t="shared" ref="E14:E24" si="1">SUM(F14:H14)</f>
        <v>13363</v>
      </c>
      <c r="F14" s="231">
        <f>기초내역!H49</f>
        <v>11872</v>
      </c>
      <c r="G14" s="231">
        <f>기초내역!J49</f>
        <v>1491</v>
      </c>
      <c r="H14" s="231">
        <f>기초내역!L49</f>
        <v>0</v>
      </c>
    </row>
    <row r="15" spans="1:8" ht="15" customHeight="1">
      <c r="A15" s="1">
        <v>13</v>
      </c>
      <c r="B15" s="231" t="str">
        <f>기초내역!F50</f>
        <v>평떼(구입)</v>
      </c>
      <c r="C15" s="1">
        <v>1</v>
      </c>
      <c r="D15" s="1" t="s">
        <v>1016</v>
      </c>
      <c r="E15" s="231">
        <f t="shared" si="1"/>
        <v>16547</v>
      </c>
      <c r="F15" s="231">
        <f>기초내역!H54</f>
        <v>11872</v>
      </c>
      <c r="G15" s="231">
        <f>기초내역!J54</f>
        <v>4675</v>
      </c>
      <c r="H15" s="231">
        <f>기초내역!L54</f>
        <v>0</v>
      </c>
    </row>
    <row r="16" spans="1:8" ht="15" customHeight="1">
      <c r="A16" s="1">
        <v>14</v>
      </c>
      <c r="B16" s="231" t="str">
        <f>기초내역!F56</f>
        <v>원형거푸집(재료비)</v>
      </c>
      <c r="C16" s="1">
        <v>1</v>
      </c>
      <c r="D16" s="1" t="s">
        <v>1016</v>
      </c>
      <c r="E16" s="231">
        <f t="shared" si="1"/>
        <v>39825</v>
      </c>
      <c r="F16" s="231">
        <f>기초내역!H63</f>
        <v>0</v>
      </c>
      <c r="G16" s="231">
        <f>기초내역!J63</f>
        <v>39825</v>
      </c>
      <c r="H16" s="231">
        <f>기초내역!L63</f>
        <v>0</v>
      </c>
    </row>
    <row r="17" spans="1:8" ht="15" customHeight="1">
      <c r="A17" s="1">
        <v>15</v>
      </c>
      <c r="B17" s="231" t="str">
        <f>기초내역!F64</f>
        <v>원형거푸집(노무비)</v>
      </c>
      <c r="C17" s="1">
        <v>1</v>
      </c>
      <c r="D17" s="1" t="s">
        <v>1016</v>
      </c>
      <c r="E17" s="231">
        <f t="shared" si="1"/>
        <v>241485</v>
      </c>
      <c r="F17" s="231">
        <f>기초내역!H67</f>
        <v>241485</v>
      </c>
      <c r="G17" s="231">
        <f>기초내역!J67</f>
        <v>0</v>
      </c>
      <c r="H17" s="231">
        <f>기초내역!L67</f>
        <v>0</v>
      </c>
    </row>
    <row r="18" spans="1:8" ht="15" customHeight="1">
      <c r="A18" s="1">
        <v>16</v>
      </c>
      <c r="B18" s="231" t="str">
        <f>기초내역!F68</f>
        <v>합판거푸집(재료비)</v>
      </c>
      <c r="C18" s="1">
        <v>1</v>
      </c>
      <c r="D18" s="1" t="s">
        <v>1016</v>
      </c>
      <c r="E18" s="231">
        <f t="shared" si="1"/>
        <v>27392</v>
      </c>
      <c r="F18" s="231">
        <f>기초내역!H72</f>
        <v>0</v>
      </c>
      <c r="G18" s="231">
        <f>기초내역!J72</f>
        <v>27392</v>
      </c>
      <c r="H18" s="231">
        <f>기초내역!L72</f>
        <v>0</v>
      </c>
    </row>
    <row r="19" spans="1:8" ht="15" customHeight="1">
      <c r="A19" s="1">
        <v>17</v>
      </c>
      <c r="B19" s="231" t="str">
        <f>기초내역!F73</f>
        <v>합판거푸집(노무비)</v>
      </c>
      <c r="C19" s="1">
        <v>1</v>
      </c>
      <c r="D19" s="1" t="s">
        <v>1016</v>
      </c>
      <c r="E19" s="231">
        <f t="shared" si="1"/>
        <v>35184</v>
      </c>
      <c r="F19" s="231">
        <f>기초내역!H76</f>
        <v>35184</v>
      </c>
      <c r="G19" s="231">
        <f>기초내역!J76</f>
        <v>0</v>
      </c>
      <c r="H19" s="231">
        <f>기초내역!L76</f>
        <v>0</v>
      </c>
    </row>
    <row r="20" spans="1:8" ht="15" customHeight="1">
      <c r="A20" s="747" t="s">
        <v>2328</v>
      </c>
      <c r="B20" s="231" t="s">
        <v>2327</v>
      </c>
      <c r="C20" s="1">
        <v>1</v>
      </c>
      <c r="D20" s="1" t="s">
        <v>1016</v>
      </c>
      <c r="E20" s="231">
        <f t="shared" si="1"/>
        <v>57730</v>
      </c>
      <c r="F20" s="231">
        <f>기초내역!H80</f>
        <v>57730</v>
      </c>
      <c r="G20" s="231">
        <f>기초내역!J80</f>
        <v>0</v>
      </c>
      <c r="H20" s="231">
        <f>기초내역!L80</f>
        <v>0</v>
      </c>
    </row>
    <row r="21" spans="1:8" ht="15" customHeight="1">
      <c r="A21" s="1">
        <v>18</v>
      </c>
      <c r="B21" s="231" t="str">
        <f>기초내역!F81</f>
        <v>비탈규준틀</v>
      </c>
      <c r="C21" s="1">
        <v>1</v>
      </c>
      <c r="D21" s="1" t="s">
        <v>1017</v>
      </c>
      <c r="E21" s="231">
        <f t="shared" si="1"/>
        <v>91733</v>
      </c>
      <c r="F21" s="231">
        <f>기초내역!H87</f>
        <v>88999</v>
      </c>
      <c r="G21" s="231">
        <f>기초내역!J87</f>
        <v>2734</v>
      </c>
      <c r="H21" s="231">
        <f>기초내역!L87</f>
        <v>0</v>
      </c>
    </row>
    <row r="22" spans="1:8" ht="15" customHeight="1">
      <c r="A22" s="1">
        <v>19</v>
      </c>
      <c r="B22" s="231" t="str">
        <f>기초내역!F89</f>
        <v>수평규준틀(평)</v>
      </c>
      <c r="C22" s="1">
        <v>1</v>
      </c>
      <c r="D22" s="1" t="s">
        <v>1017</v>
      </c>
      <c r="E22" s="231">
        <f t="shared" si="1"/>
        <v>97416</v>
      </c>
      <c r="F22" s="231">
        <f>기초내역!H94</f>
        <v>92559</v>
      </c>
      <c r="G22" s="231">
        <f>기초내역!J94</f>
        <v>4857</v>
      </c>
      <c r="H22" s="231">
        <f>기초내역!L94</f>
        <v>0</v>
      </c>
    </row>
    <row r="23" spans="1:8" ht="15" customHeight="1">
      <c r="A23" s="1">
        <v>20</v>
      </c>
      <c r="B23" s="231" t="str">
        <f>기초내역!F95</f>
        <v>수평 규준틀(귀)</v>
      </c>
      <c r="C23" s="1">
        <v>1</v>
      </c>
      <c r="D23" s="1" t="s">
        <v>1017</v>
      </c>
      <c r="E23" s="231">
        <f t="shared" si="1"/>
        <v>166828</v>
      </c>
      <c r="F23" s="231">
        <f>기초내역!H100</f>
        <v>159309</v>
      </c>
      <c r="G23" s="231">
        <f>기초내역!J100</f>
        <v>7519</v>
      </c>
      <c r="H23" s="231">
        <f>기초내역!L100</f>
        <v>0</v>
      </c>
    </row>
    <row r="24" spans="1:8" ht="15" customHeight="1">
      <c r="A24" s="1">
        <v>21</v>
      </c>
      <c r="B24" s="231" t="str">
        <f>기초내역!F101</f>
        <v>조립식 가설사무실 (재료비)</v>
      </c>
      <c r="C24" s="1">
        <v>1</v>
      </c>
      <c r="D24" s="1" t="s">
        <v>1016</v>
      </c>
      <c r="E24" s="231">
        <f t="shared" si="1"/>
        <v>57989</v>
      </c>
      <c r="F24" s="231">
        <f>기초내역!H117</f>
        <v>0</v>
      </c>
      <c r="G24" s="231">
        <f>기초내역!J117</f>
        <v>57989</v>
      </c>
      <c r="H24" s="231">
        <f>기초내역!L117</f>
        <v>0</v>
      </c>
    </row>
    <row r="25" spans="1:8" ht="15" customHeight="1">
      <c r="A25" s="1">
        <v>22</v>
      </c>
      <c r="B25" s="231" t="str">
        <f>기초내역!F119</f>
        <v>조립식 가설창고( 재료비)</v>
      </c>
      <c r="C25" s="1">
        <v>1</v>
      </c>
      <c r="D25" s="1" t="s">
        <v>1016</v>
      </c>
      <c r="E25" s="231">
        <f>SUM(F25:H25)</f>
        <v>39399</v>
      </c>
      <c r="F25" s="231">
        <f>기초내역!H131</f>
        <v>0</v>
      </c>
      <c r="G25" s="231">
        <f>기초내역!J131</f>
        <v>39399</v>
      </c>
      <c r="H25" s="231">
        <f>기초내역!L131</f>
        <v>0</v>
      </c>
    </row>
    <row r="26" spans="1:8" ht="15" customHeight="1">
      <c r="A26" s="1">
        <v>23</v>
      </c>
      <c r="B26" s="231" t="str">
        <f>기초내역!F132</f>
        <v>조립식 가설사무실(인건비)</v>
      </c>
      <c r="C26" s="1">
        <v>1</v>
      </c>
      <c r="D26" s="1" t="s">
        <v>1016</v>
      </c>
      <c r="E26" s="231">
        <f t="shared" ref="E26:E34" si="2">SUM(F26:H26)</f>
        <v>145469</v>
      </c>
      <c r="F26" s="231">
        <f>기초내역!H135</f>
        <v>145469</v>
      </c>
      <c r="G26" s="231">
        <f>기초내역!J135</f>
        <v>0</v>
      </c>
      <c r="H26" s="231">
        <f>기초내역!L135</f>
        <v>0</v>
      </c>
    </row>
    <row r="27" spans="1:8" ht="15" customHeight="1">
      <c r="A27" s="1">
        <v>24</v>
      </c>
      <c r="B27" s="231" t="str">
        <f>기초내역!F136</f>
        <v>조립식 가설창고(인건비)</v>
      </c>
      <c r="C27" s="1">
        <v>1</v>
      </c>
      <c r="D27" s="1" t="s">
        <v>1016</v>
      </c>
      <c r="E27" s="231">
        <f t="shared" si="2"/>
        <v>109102</v>
      </c>
      <c r="F27" s="231">
        <f>기초내역!H139</f>
        <v>109102</v>
      </c>
      <c r="G27" s="231">
        <f>기초내역!J139</f>
        <v>0</v>
      </c>
      <c r="H27" s="231">
        <f>기초내역!L139</f>
        <v>0</v>
      </c>
    </row>
    <row r="28" spans="1:8" ht="15" customHeight="1">
      <c r="A28" s="1">
        <v>25</v>
      </c>
      <c r="B28" s="231" t="str">
        <f>기초내역!F140</f>
        <v>철근 가공비(보통구조)</v>
      </c>
      <c r="C28" s="1">
        <v>1</v>
      </c>
      <c r="D28" s="1" t="s">
        <v>1013</v>
      </c>
      <c r="E28" s="231">
        <f t="shared" si="2"/>
        <v>1048592</v>
      </c>
      <c r="F28" s="231">
        <f>기초내역!H145</f>
        <v>1032496</v>
      </c>
      <c r="G28" s="231">
        <f>기초내역!J145</f>
        <v>7897</v>
      </c>
      <c r="H28" s="231">
        <f>기초내역!L145</f>
        <v>8199</v>
      </c>
    </row>
    <row r="29" spans="1:8" ht="15" customHeight="1">
      <c r="A29" s="1">
        <v>26</v>
      </c>
      <c r="B29" s="231" t="str">
        <f>기초내역!F146</f>
        <v>철근 가공비(복잡구조)</v>
      </c>
      <c r="C29" s="1">
        <v>1</v>
      </c>
      <c r="D29" s="1" t="s">
        <v>1013</v>
      </c>
      <c r="E29" s="231">
        <f t="shared" si="2"/>
        <v>1163108</v>
      </c>
      <c r="F29" s="231">
        <f>기초내역!H151</f>
        <v>1143569</v>
      </c>
      <c r="G29" s="231">
        <f>기초내역!J151</f>
        <v>9720</v>
      </c>
      <c r="H29" s="231">
        <f>기초내역!L151</f>
        <v>9819</v>
      </c>
    </row>
    <row r="30" spans="1:8" ht="15" customHeight="1">
      <c r="A30" s="1">
        <v>27</v>
      </c>
      <c r="B30" s="231" t="str">
        <f>기초내역!F152</f>
        <v>철근 가공비(간단구조)</v>
      </c>
      <c r="C30" s="1">
        <v>1</v>
      </c>
      <c r="D30" s="1" t="s">
        <v>1013</v>
      </c>
      <c r="E30" s="231">
        <f t="shared" si="2"/>
        <v>932164</v>
      </c>
      <c r="F30" s="231">
        <f>기초내역!H157</f>
        <v>919146</v>
      </c>
      <c r="G30" s="231">
        <f>기초내역!J157</f>
        <v>6075</v>
      </c>
      <c r="H30" s="231">
        <f>기초내역!L157</f>
        <v>6943</v>
      </c>
    </row>
    <row r="31" spans="1:8" ht="15" customHeight="1">
      <c r="A31" s="1">
        <v>28</v>
      </c>
      <c r="B31" s="231" t="str">
        <f>기초내역!F158</f>
        <v>철근 가공비(소형, 보통)</v>
      </c>
      <c r="C31" s="1">
        <v>1</v>
      </c>
      <c r="D31" s="1" t="s">
        <v>1013</v>
      </c>
      <c r="E31" s="231">
        <f t="shared" si="2"/>
        <v>1359851</v>
      </c>
      <c r="F31" s="231">
        <f>기초내역!H163</f>
        <v>1343755</v>
      </c>
      <c r="G31" s="231">
        <f>기초내역!J163</f>
        <v>7897</v>
      </c>
      <c r="H31" s="231">
        <f>기초내역!L163</f>
        <v>8199</v>
      </c>
    </row>
    <row r="32" spans="1:8" ht="15" customHeight="1">
      <c r="A32" s="1">
        <v>29</v>
      </c>
      <c r="B32" s="231" t="str">
        <f>기초내역!F164</f>
        <v>철근 가공비(소형, 복잡)</v>
      </c>
      <c r="C32" s="1">
        <v>1</v>
      </c>
      <c r="D32" s="1" t="s">
        <v>1013</v>
      </c>
      <c r="E32" s="231">
        <f t="shared" si="2"/>
        <v>1489394</v>
      </c>
      <c r="F32" s="231">
        <f>기초내역!H169</f>
        <v>1469855</v>
      </c>
      <c r="G32" s="231">
        <f>기초내역!J169</f>
        <v>9720</v>
      </c>
      <c r="H32" s="231">
        <f>기초내역!L169</f>
        <v>9819</v>
      </c>
    </row>
    <row r="33" spans="1:8" ht="15" customHeight="1">
      <c r="A33" s="1">
        <v>30</v>
      </c>
      <c r="B33" s="231" t="str">
        <f>기초내역!F170</f>
        <v>지수판 설치비</v>
      </c>
      <c r="C33" s="1">
        <v>1</v>
      </c>
      <c r="D33" s="1" t="s">
        <v>1019</v>
      </c>
      <c r="E33" s="231">
        <f t="shared" si="2"/>
        <v>55924</v>
      </c>
      <c r="F33" s="231">
        <f>기초내역!H175</f>
        <v>54103</v>
      </c>
      <c r="G33" s="231">
        <f>기초내역!J175</f>
        <v>198</v>
      </c>
      <c r="H33" s="231">
        <f>기초내역!L175</f>
        <v>1623</v>
      </c>
    </row>
    <row r="34" spans="1:8" ht="15" customHeight="1">
      <c r="A34" s="1">
        <v>31</v>
      </c>
      <c r="B34" s="231" t="str">
        <f>기초내역!F176</f>
        <v>모르터(1 : 2)</v>
      </c>
      <c r="C34" s="1">
        <v>1</v>
      </c>
      <c r="D34" s="1" t="s">
        <v>1014</v>
      </c>
      <c r="E34" s="231">
        <f t="shared" si="2"/>
        <v>304607</v>
      </c>
      <c r="F34" s="231">
        <f>기초내역!H181</f>
        <v>223906</v>
      </c>
      <c r="G34" s="231">
        <f>기초내역!J181</f>
        <v>71603</v>
      </c>
      <c r="H34" s="231">
        <f>기초내역!L181</f>
        <v>9098</v>
      </c>
    </row>
    <row r="35" spans="1:8" ht="15" customHeight="1">
      <c r="A35" s="1">
        <v>32</v>
      </c>
      <c r="B35" s="231" t="str">
        <f>기초내역!F183</f>
        <v>모르터(1 : 3)</v>
      </c>
      <c r="C35" s="1">
        <v>1</v>
      </c>
      <c r="D35" s="1" t="s">
        <v>1014</v>
      </c>
      <c r="E35" s="231">
        <f t="shared" ref="E35:E67" si="3">SUM(F35:H35)</f>
        <v>290688</v>
      </c>
      <c r="F35" s="231">
        <f>기초내역!H188</f>
        <v>222149</v>
      </c>
      <c r="G35" s="231">
        <f>기초내역!J188</f>
        <v>61035</v>
      </c>
      <c r="H35" s="231">
        <f>기초내역!L188</f>
        <v>7504</v>
      </c>
    </row>
    <row r="36" spans="1:8" ht="15" customHeight="1">
      <c r="A36" s="1">
        <v>33</v>
      </c>
      <c r="B36" s="231" t="str">
        <f>기초내역!F189</f>
        <v>방수모르터(1 : 3)</v>
      </c>
      <c r="C36" s="1">
        <v>1</v>
      </c>
      <c r="D36" s="1" t="s">
        <v>1014</v>
      </c>
      <c r="E36" s="231">
        <f t="shared" si="3"/>
        <v>330660</v>
      </c>
      <c r="F36" s="231">
        <f>기초내역!H195</f>
        <v>258721</v>
      </c>
      <c r="G36" s="231">
        <f>기초내역!J195</f>
        <v>64435</v>
      </c>
      <c r="H36" s="231">
        <f>기초내역!L195</f>
        <v>7504</v>
      </c>
    </row>
    <row r="37" spans="1:8" ht="15" customHeight="1">
      <c r="A37" s="1">
        <v>34</v>
      </c>
      <c r="B37" s="231" t="str">
        <f>기초내역!F196</f>
        <v>레미콘타설(철근구조물) 기계사용</v>
      </c>
      <c r="C37" s="1">
        <v>1</v>
      </c>
      <c r="D37" s="1" t="s">
        <v>1014</v>
      </c>
      <c r="E37" s="231">
        <f t="shared" si="3"/>
        <v>32335</v>
      </c>
      <c r="F37" s="231">
        <f>기초내역!H201</f>
        <v>27793</v>
      </c>
      <c r="G37" s="231">
        <f>기초내역!J201</f>
        <v>2395</v>
      </c>
      <c r="H37" s="231">
        <f>기초내역!L201</f>
        <v>2147</v>
      </c>
    </row>
    <row r="38" spans="1:8" ht="15" customHeight="1">
      <c r="A38" s="1">
        <v>35</v>
      </c>
      <c r="B38" s="231" t="str">
        <f>기초내역!F202</f>
        <v>레미콘타설(무근구조물) 기계사용</v>
      </c>
      <c r="C38" s="1">
        <v>1</v>
      </c>
      <c r="D38" s="1" t="s">
        <v>1014</v>
      </c>
      <c r="E38" s="231">
        <f t="shared" si="3"/>
        <v>28670</v>
      </c>
      <c r="F38" s="231">
        <f>기초내역!H207</f>
        <v>24558</v>
      </c>
      <c r="G38" s="231">
        <f>기초내역!J207</f>
        <v>2179</v>
      </c>
      <c r="H38" s="231">
        <f>기초내역!L207</f>
        <v>1933</v>
      </c>
    </row>
    <row r="39" spans="1:8" ht="15" customHeight="1">
      <c r="A39" s="1">
        <v>36</v>
      </c>
      <c r="B39" s="231" t="str">
        <f>기초내역!F208</f>
        <v>레미콘타설(소형구조물) 기계사용</v>
      </c>
      <c r="C39" s="1">
        <v>1</v>
      </c>
      <c r="D39" s="1" t="s">
        <v>1014</v>
      </c>
      <c r="E39" s="231">
        <f t="shared" si="3"/>
        <v>58669</v>
      </c>
      <c r="F39" s="231">
        <f>기초내역!H213</f>
        <v>45106</v>
      </c>
      <c r="G39" s="231">
        <f>기초내역!J213</f>
        <v>6937</v>
      </c>
      <c r="H39" s="231">
        <f>기초내역!L213</f>
        <v>6626</v>
      </c>
    </row>
    <row r="40" spans="1:8" ht="15" customHeight="1">
      <c r="A40" s="1">
        <v>37</v>
      </c>
      <c r="B40" s="231" t="str">
        <f>기초내역!F214</f>
        <v>레미콘타설(LEAN) 10㎥이상</v>
      </c>
      <c r="C40" s="1">
        <v>1</v>
      </c>
      <c r="D40" s="1" t="s">
        <v>1014</v>
      </c>
      <c r="E40" s="231">
        <f t="shared" si="3"/>
        <v>86412</v>
      </c>
      <c r="F40" s="231">
        <f>기초내역!H217</f>
        <v>86412</v>
      </c>
      <c r="G40" s="231">
        <f>기초내역!J217</f>
        <v>0</v>
      </c>
      <c r="H40" s="231">
        <f>기초내역!L217</f>
        <v>0</v>
      </c>
    </row>
    <row r="41" spans="1:8" ht="15" customHeight="1">
      <c r="A41" s="1">
        <v>38</v>
      </c>
      <c r="B41" s="231" t="str">
        <f>기초내역!F218</f>
        <v>레미콘타설(LEAN) 10㎥미만</v>
      </c>
      <c r="C41" s="1">
        <v>1</v>
      </c>
      <c r="D41" s="1" t="s">
        <v>1014</v>
      </c>
      <c r="E41" s="231">
        <f t="shared" si="3"/>
        <v>136194</v>
      </c>
      <c r="F41" s="231">
        <f>기초내역!H221</f>
        <v>136194</v>
      </c>
      <c r="G41" s="231">
        <f>기초내역!J221</f>
        <v>0</v>
      </c>
      <c r="H41" s="231">
        <f>기초내역!L221</f>
        <v>0</v>
      </c>
    </row>
    <row r="42" spans="1:8" ht="15" customHeight="1">
      <c r="A42" s="1">
        <v>39</v>
      </c>
      <c r="B42" s="27" t="str">
        <f>기초내역!F222</f>
        <v>콘크리트다짐 10㎥미만</v>
      </c>
      <c r="C42" s="1">
        <v>1</v>
      </c>
      <c r="D42" s="1" t="s">
        <v>1014</v>
      </c>
      <c r="E42" s="231">
        <f t="shared" si="3"/>
        <v>515</v>
      </c>
      <c r="F42" s="27">
        <f>기초내역!H225</f>
        <v>0</v>
      </c>
      <c r="G42" s="27">
        <f>기초내역!J225</f>
        <v>466</v>
      </c>
      <c r="H42" s="129">
        <f>기초내역!L225</f>
        <v>49</v>
      </c>
    </row>
    <row r="43" spans="1:8" ht="15" customHeight="1">
      <c r="A43" s="1">
        <v>40</v>
      </c>
      <c r="B43" s="27" t="str">
        <f>기초내역!F226</f>
        <v>콘크리트다짐 10㎥이상</v>
      </c>
      <c r="C43" s="1">
        <v>1</v>
      </c>
      <c r="D43" s="1" t="s">
        <v>1014</v>
      </c>
      <c r="E43" s="231">
        <f t="shared" si="3"/>
        <v>257</v>
      </c>
      <c r="F43" s="27">
        <f>기초내역!J229</f>
        <v>233</v>
      </c>
      <c r="G43" s="27">
        <f>기초내역!L229</f>
        <v>24</v>
      </c>
      <c r="H43" s="129"/>
    </row>
    <row r="44" spans="1:8" ht="15" customHeight="1">
      <c r="A44" s="1">
        <v>41</v>
      </c>
      <c r="B44" s="231" t="str">
        <f>기초내역!F230</f>
        <v>PE관 부설접합(버트융착식) D=100</v>
      </c>
      <c r="C44" s="1">
        <v>1</v>
      </c>
      <c r="D44" s="1" t="s">
        <v>119</v>
      </c>
      <c r="E44" s="231">
        <f t="shared" si="3"/>
        <v>55691</v>
      </c>
      <c r="F44" s="231">
        <f>기초내역!H235</f>
        <v>48427</v>
      </c>
      <c r="G44" s="231">
        <f>기초내역!J235</f>
        <v>0</v>
      </c>
      <c r="H44" s="231">
        <f>기초내역!L235</f>
        <v>7264</v>
      </c>
    </row>
    <row r="45" spans="1:8" ht="15" customHeight="1">
      <c r="A45" s="1">
        <v>42</v>
      </c>
      <c r="B45" s="231" t="str">
        <f>기초내역!F236</f>
        <v>PE관 부설접합(전기융착식) D=150</v>
      </c>
      <c r="C45" s="1">
        <v>1</v>
      </c>
      <c r="D45" s="1" t="s">
        <v>1019</v>
      </c>
      <c r="E45" s="231">
        <f t="shared" si="3"/>
        <v>9725</v>
      </c>
      <c r="F45" s="231">
        <f>기초내역!H239</f>
        <v>9725</v>
      </c>
      <c r="G45" s="231">
        <f>기초내역!J239</f>
        <v>0</v>
      </c>
      <c r="H45" s="231">
        <f>기초내역!L239</f>
        <v>0</v>
      </c>
    </row>
    <row r="46" spans="1:8" ht="15" customHeight="1">
      <c r="A46" s="1">
        <v>43</v>
      </c>
      <c r="B46" s="231" t="str">
        <f>기초내역!F240</f>
        <v>PE관 부설접합(전기융착식) D=200</v>
      </c>
      <c r="C46" s="1">
        <v>1</v>
      </c>
      <c r="D46" s="1" t="s">
        <v>1019</v>
      </c>
      <c r="E46" s="231">
        <f t="shared" si="3"/>
        <v>11088</v>
      </c>
      <c r="F46" s="231">
        <f>기초내역!H243</f>
        <v>11088</v>
      </c>
      <c r="G46" s="231">
        <f>기초내역!J243</f>
        <v>0</v>
      </c>
      <c r="H46" s="231">
        <f>기초내역!L243</f>
        <v>0</v>
      </c>
    </row>
    <row r="47" spans="1:8" ht="15" customHeight="1">
      <c r="A47" s="1">
        <v>44</v>
      </c>
      <c r="B47" s="231" t="str">
        <f>기초내역!F244</f>
        <v>PE관 부설접합(전기융착식) D=250</v>
      </c>
      <c r="C47" s="1">
        <v>1</v>
      </c>
      <c r="D47" s="1" t="s">
        <v>1019</v>
      </c>
      <c r="E47" s="231">
        <f t="shared" si="3"/>
        <v>12966</v>
      </c>
      <c r="F47" s="231">
        <f>기초내역!H247</f>
        <v>12966</v>
      </c>
      <c r="G47" s="231">
        <f>기초내역!J247</f>
        <v>0</v>
      </c>
      <c r="H47" s="231">
        <f>기초내역!L247</f>
        <v>0</v>
      </c>
    </row>
    <row r="48" spans="1:8" ht="15" customHeight="1">
      <c r="A48" s="1">
        <v>45</v>
      </c>
      <c r="B48" s="231" t="str">
        <f>기초내역!F248</f>
        <v>PE관 부설접합(전기융착식) D=300</v>
      </c>
      <c r="C48" s="1">
        <v>1</v>
      </c>
      <c r="D48" s="1" t="s">
        <v>1019</v>
      </c>
      <c r="E48" s="231">
        <f t="shared" si="3"/>
        <v>13853</v>
      </c>
      <c r="F48" s="231">
        <f>기초내역!H251</f>
        <v>13853</v>
      </c>
      <c r="G48" s="231">
        <f>기초내역!J251</f>
        <v>0</v>
      </c>
      <c r="H48" s="231">
        <f>기초내역!L251</f>
        <v>0</v>
      </c>
    </row>
    <row r="49" spans="1:8" ht="15" customHeight="1">
      <c r="A49" s="1">
        <v>46</v>
      </c>
      <c r="B49" s="231" t="str">
        <f>기초내역!F252</f>
        <v>PE관 부설접합(전기융착식) D=500</v>
      </c>
      <c r="C49" s="1">
        <v>1</v>
      </c>
      <c r="D49" s="1" t="s">
        <v>1019</v>
      </c>
      <c r="E49" s="231">
        <f>SUM(F49:H49)</f>
        <v>21395</v>
      </c>
      <c r="F49" s="231">
        <f>기초내역!H255</f>
        <v>21395</v>
      </c>
      <c r="G49" s="231">
        <f>기초내역!J255</f>
        <v>0</v>
      </c>
      <c r="H49" s="231">
        <f>기초내역!L255</f>
        <v>0</v>
      </c>
    </row>
    <row r="50" spans="1:8" ht="15" customHeight="1">
      <c r="A50" s="1">
        <v>47</v>
      </c>
      <c r="B50" s="231" t="str">
        <f>기초내역!F256</f>
        <v>강판절단( t=3.2mm)</v>
      </c>
      <c r="C50" s="1">
        <v>1</v>
      </c>
      <c r="D50" s="1" t="s">
        <v>1019</v>
      </c>
      <c r="E50" s="231">
        <f t="shared" si="3"/>
        <v>1986</v>
      </c>
      <c r="F50" s="231">
        <f>기초내역!H262</f>
        <v>1800</v>
      </c>
      <c r="G50" s="231">
        <f>기초내역!J262</f>
        <v>150</v>
      </c>
      <c r="H50" s="231">
        <f>기초내역!L262</f>
        <v>36</v>
      </c>
    </row>
    <row r="51" spans="1:8" ht="15" customHeight="1">
      <c r="A51" s="1">
        <v>48</v>
      </c>
      <c r="B51" s="231" t="str">
        <f>기초내역!F263</f>
        <v>강판절단( t=5.0mm)</v>
      </c>
      <c r="C51" s="1">
        <v>1</v>
      </c>
      <c r="D51" s="1" t="s">
        <v>1019</v>
      </c>
      <c r="E51" s="231">
        <f t="shared" si="3"/>
        <v>2418</v>
      </c>
      <c r="F51" s="231">
        <f>기초내역!H269</f>
        <v>1986</v>
      </c>
      <c r="G51" s="231">
        <f>기초내역!J269</f>
        <v>393</v>
      </c>
      <c r="H51" s="231">
        <f>기초내역!L269</f>
        <v>39</v>
      </c>
    </row>
    <row r="52" spans="1:8" ht="15" customHeight="1">
      <c r="A52" s="1">
        <v>49</v>
      </c>
      <c r="B52" s="231" t="str">
        <f>기초내역!F270</f>
        <v>전기용접(fillet t=3.0mm)</v>
      </c>
      <c r="C52" s="1">
        <v>1</v>
      </c>
      <c r="D52" s="1" t="s">
        <v>1019</v>
      </c>
      <c r="E52" s="231">
        <f t="shared" si="3"/>
        <v>7175</v>
      </c>
      <c r="F52" s="231">
        <f>기초내역!H276</f>
        <v>6470</v>
      </c>
      <c r="G52" s="231">
        <f>기초내역!J276</f>
        <v>295</v>
      </c>
      <c r="H52" s="231">
        <f>기초내역!L276</f>
        <v>410</v>
      </c>
    </row>
    <row r="53" spans="1:8" ht="15" customHeight="1">
      <c r="A53" s="1">
        <v>50</v>
      </c>
      <c r="B53" s="231" t="str">
        <f>기초내역!F277</f>
        <v>전기용접(fillet t=5.0mm)</v>
      </c>
      <c r="C53" s="1">
        <v>1</v>
      </c>
      <c r="D53" s="1" t="s">
        <v>1019</v>
      </c>
      <c r="E53" s="231">
        <f t="shared" si="3"/>
        <v>11878</v>
      </c>
      <c r="F53" s="231">
        <f>기초내역!H283</f>
        <v>10699</v>
      </c>
      <c r="G53" s="231">
        <f>기초내역!J283</f>
        <v>499</v>
      </c>
      <c r="H53" s="231">
        <f>기초내역!L283</f>
        <v>680</v>
      </c>
    </row>
    <row r="54" spans="1:8" ht="15" customHeight="1">
      <c r="A54" s="1">
        <v>51</v>
      </c>
      <c r="B54" s="231" t="str">
        <f>기초내역!F284</f>
        <v>조합페인트칠(모르터면)  3회</v>
      </c>
      <c r="C54" s="1">
        <v>1</v>
      </c>
      <c r="D54" s="1" t="s">
        <v>1016</v>
      </c>
      <c r="E54" s="231">
        <f t="shared" si="3"/>
        <v>21621</v>
      </c>
      <c r="F54" s="231">
        <f>기초내역!H292</f>
        <v>20019</v>
      </c>
      <c r="G54" s="231">
        <f>기초내역!J292</f>
        <v>1202</v>
      </c>
      <c r="H54" s="231">
        <f>기초내역!L292</f>
        <v>400</v>
      </c>
    </row>
    <row r="55" spans="1:8" ht="15" customHeight="1">
      <c r="A55" s="1">
        <v>52</v>
      </c>
      <c r="B55" s="231" t="str">
        <f>기초내역!F293</f>
        <v>조합페인트칠(철재면)  2회</v>
      </c>
      <c r="C55" s="1">
        <v>1</v>
      </c>
      <c r="D55" s="1" t="s">
        <v>1016</v>
      </c>
      <c r="E55" s="231">
        <f t="shared" si="3"/>
        <v>18279</v>
      </c>
      <c r="F55" s="231">
        <f>기초내역!H302</f>
        <v>16471</v>
      </c>
      <c r="G55" s="231">
        <f>기초내역!J302</f>
        <v>1479</v>
      </c>
      <c r="H55" s="231">
        <f>기초내역!L302</f>
        <v>329</v>
      </c>
    </row>
    <row r="56" spans="1:8" ht="15" customHeight="1">
      <c r="A56" s="1">
        <v>53</v>
      </c>
      <c r="B56" s="231" t="str">
        <f>기초내역!F303</f>
        <v>난간 설치 (스텐레스)</v>
      </c>
      <c r="C56" s="1">
        <v>1</v>
      </c>
      <c r="D56" s="1" t="s">
        <v>1013</v>
      </c>
      <c r="E56" s="231">
        <f t="shared" si="3"/>
        <v>7370612</v>
      </c>
      <c r="F56" s="231">
        <f>기초내역!H309</f>
        <v>7143907</v>
      </c>
      <c r="G56" s="231">
        <f>기초내역!J309</f>
        <v>12388</v>
      </c>
      <c r="H56" s="231">
        <f>기초내역!L309</f>
        <v>214317</v>
      </c>
    </row>
    <row r="57" spans="1:8" ht="15" customHeight="1">
      <c r="A57" s="1">
        <v>54</v>
      </c>
      <c r="B57" s="231" t="str">
        <f>기초내역!F310</f>
        <v>잡철물 제작</v>
      </c>
      <c r="C57" s="1">
        <v>1</v>
      </c>
      <c r="D57" s="1" t="s">
        <v>1013</v>
      </c>
      <c r="E57" s="231">
        <f t="shared" si="3"/>
        <v>6334613</v>
      </c>
      <c r="F57" s="231">
        <f>기초내역!H321</f>
        <v>6081728</v>
      </c>
      <c r="G57" s="231">
        <f>기초내역!J321</f>
        <v>60772</v>
      </c>
      <c r="H57" s="231">
        <f>기초내역!L321</f>
        <v>192113</v>
      </c>
    </row>
    <row r="58" spans="1:8" ht="15" customHeight="1">
      <c r="A58" s="1">
        <v>55</v>
      </c>
      <c r="B58" s="231" t="str">
        <f>기초내역!F322</f>
        <v>잡철물 제작 설치</v>
      </c>
      <c r="C58" s="1">
        <v>1</v>
      </c>
      <c r="D58" s="1" t="s">
        <v>1013</v>
      </c>
      <c r="E58" s="231">
        <f t="shared" si="3"/>
        <v>7946925</v>
      </c>
      <c r="F58" s="231">
        <f>기초내역!H333</f>
        <v>7635232</v>
      </c>
      <c r="G58" s="231">
        <f>기초내역!J333</f>
        <v>71269</v>
      </c>
      <c r="H58" s="231">
        <f>기초내역!L333</f>
        <v>240424</v>
      </c>
    </row>
    <row r="59" spans="1:8" ht="15" customHeight="1">
      <c r="A59" s="1">
        <v>56</v>
      </c>
      <c r="B59" s="231" t="s">
        <v>442</v>
      </c>
      <c r="C59" s="1">
        <v>1</v>
      </c>
      <c r="D59" s="1" t="s">
        <v>250</v>
      </c>
      <c r="E59" s="231" t="e">
        <f t="shared" si="3"/>
        <v>#REF!</v>
      </c>
      <c r="F59" s="231" t="e">
        <f>기초내역!#REF!</f>
        <v>#REF!</v>
      </c>
      <c r="G59" s="231" t="e">
        <f>기초내역!#REF!</f>
        <v>#REF!</v>
      </c>
      <c r="H59" s="231" t="e">
        <f>기초내역!#REF!</f>
        <v>#REF!</v>
      </c>
    </row>
    <row r="60" spans="1:8" ht="15" customHeight="1">
      <c r="A60" s="1">
        <v>57</v>
      </c>
      <c r="B60" s="231" t="s">
        <v>427</v>
      </c>
      <c r="C60" s="1">
        <v>1</v>
      </c>
      <c r="D60" s="1" t="s">
        <v>250</v>
      </c>
      <c r="E60" s="231">
        <f t="shared" si="3"/>
        <v>2712</v>
      </c>
      <c r="F60" s="231">
        <f>기초내역!H349</f>
        <v>0</v>
      </c>
      <c r="G60" s="231">
        <f>기초내역!J349</f>
        <v>2712</v>
      </c>
      <c r="H60" s="231">
        <f>기초내역!L349</f>
        <v>0</v>
      </c>
    </row>
    <row r="61" spans="1:8" ht="15" customHeight="1">
      <c r="A61" s="1">
        <v>58</v>
      </c>
      <c r="B61" s="231" t="str">
        <f>기초내역!F350</f>
        <v>철근구조물헐기(철근절단)</v>
      </c>
      <c r="C61" s="1">
        <v>1</v>
      </c>
      <c r="D61" s="1" t="s">
        <v>1014</v>
      </c>
      <c r="E61" s="231">
        <f t="shared" si="3"/>
        <v>22794</v>
      </c>
      <c r="F61" s="231">
        <f>기초내역!H357</f>
        <v>22034</v>
      </c>
      <c r="G61" s="231">
        <f>기초내역!J357</f>
        <v>705</v>
      </c>
      <c r="H61" s="231">
        <f>기초내역!L357</f>
        <v>55</v>
      </c>
    </row>
    <row r="62" spans="1:8" ht="15" customHeight="1">
      <c r="A62" s="1">
        <v>59</v>
      </c>
      <c r="B62" s="231" t="str">
        <f>기초내역!F358</f>
        <v xml:space="preserve">레미콘 : 무근(인력)  </v>
      </c>
      <c r="C62" s="1">
        <v>1</v>
      </c>
      <c r="D62" s="1" t="s">
        <v>1014</v>
      </c>
      <c r="E62" s="231">
        <f t="shared" si="3"/>
        <v>58020</v>
      </c>
      <c r="F62" s="231">
        <f>기초내역!H362</f>
        <v>57773</v>
      </c>
      <c r="G62" s="231">
        <f>기초내역!J362</f>
        <v>233</v>
      </c>
      <c r="H62" s="231">
        <f>기초내역!L362</f>
        <v>14</v>
      </c>
    </row>
    <row r="63" spans="1:8" ht="15" customHeight="1">
      <c r="A63" s="1">
        <v>60</v>
      </c>
      <c r="B63" s="231" t="str">
        <f>기초내역!F363</f>
        <v xml:space="preserve">레미콘 : 소형(인력)  </v>
      </c>
      <c r="C63" s="1">
        <v>1</v>
      </c>
      <c r="D63" s="1" t="s">
        <v>1014</v>
      </c>
      <c r="E63" s="231">
        <f>SUM(F63:H63)</f>
        <v>116041</v>
      </c>
      <c r="F63" s="231">
        <f>기초내역!H367</f>
        <v>115546</v>
      </c>
      <c r="G63" s="231">
        <f>기초내역!J367</f>
        <v>466</v>
      </c>
      <c r="H63" s="231">
        <f>기초내역!L367</f>
        <v>29</v>
      </c>
    </row>
    <row r="64" spans="1:8" ht="15" customHeight="1">
      <c r="A64" s="1">
        <v>61</v>
      </c>
      <c r="B64" s="231" t="str">
        <f>기초내역!F368</f>
        <v xml:space="preserve">레미콘 : 철근(인력)   </v>
      </c>
      <c r="C64" s="1">
        <v>1</v>
      </c>
      <c r="D64" s="1" t="s">
        <v>1014</v>
      </c>
      <c r="E64" s="231">
        <f t="shared" si="3"/>
        <v>65067</v>
      </c>
      <c r="F64" s="231">
        <f>기초내역!H372</f>
        <v>64820</v>
      </c>
      <c r="G64" s="231">
        <f>기초내역!J372</f>
        <v>233</v>
      </c>
      <c r="H64" s="231">
        <f>기초내역!L372</f>
        <v>14</v>
      </c>
    </row>
    <row r="65" spans="1:8" ht="15" customHeight="1">
      <c r="A65" s="1">
        <v>62</v>
      </c>
      <c r="B65" s="231" t="str">
        <f>기초내역!F373</f>
        <v xml:space="preserve">콘크리트타설(레미콘) 소형구조물  </v>
      </c>
      <c r="C65" s="1">
        <v>1</v>
      </c>
      <c r="D65" s="1" t="s">
        <v>1014</v>
      </c>
      <c r="E65" s="231">
        <f>SUM(F65:H65)</f>
        <v>116041</v>
      </c>
      <c r="F65" s="231">
        <f>기초내역!H377</f>
        <v>115546</v>
      </c>
      <c r="G65" s="231">
        <f>기초내역!J377</f>
        <v>466</v>
      </c>
      <c r="H65" s="231">
        <f>기초내역!L377</f>
        <v>29</v>
      </c>
    </row>
    <row r="66" spans="1:8" ht="15" customHeight="1">
      <c r="A66" s="1">
        <v>63</v>
      </c>
      <c r="B66" s="231" t="str">
        <f>기초내역!F378</f>
        <v xml:space="preserve">콘크리트타설(펌프차) 철근구조물 </v>
      </c>
      <c r="C66" s="1">
        <v>1</v>
      </c>
      <c r="D66" s="1" t="s">
        <v>1014</v>
      </c>
      <c r="E66" s="231">
        <f>SUM(F66:H66)</f>
        <v>27469</v>
      </c>
      <c r="F66" s="231">
        <f>기초내역!H384</f>
        <v>21703</v>
      </c>
      <c r="G66" s="231">
        <f>기초내역!J384</f>
        <v>1850</v>
      </c>
      <c r="H66" s="231">
        <f>기초내역!L384</f>
        <v>3916</v>
      </c>
    </row>
    <row r="67" spans="1:8" ht="15" customHeight="1">
      <c r="A67" s="1">
        <v>64</v>
      </c>
      <c r="B67" s="231" t="s">
        <v>1187</v>
      </c>
      <c r="C67" s="1">
        <v>1</v>
      </c>
      <c r="D67" s="1" t="s">
        <v>1069</v>
      </c>
      <c r="E67" s="231">
        <f t="shared" si="3"/>
        <v>43966</v>
      </c>
      <c r="F67" s="231">
        <f>기초내역!H390</f>
        <v>37156</v>
      </c>
      <c r="G67" s="231">
        <f>기초내역!J390</f>
        <v>2191</v>
      </c>
      <c r="H67" s="231">
        <f>기초내역!L390</f>
        <v>4619</v>
      </c>
    </row>
    <row r="68" spans="1:8" ht="15" customHeight="1">
      <c r="A68" s="1">
        <v>65</v>
      </c>
      <c r="B68" s="231" t="s">
        <v>746</v>
      </c>
      <c r="C68" s="1">
        <v>1</v>
      </c>
      <c r="D68" s="1" t="s">
        <v>1069</v>
      </c>
      <c r="E68" s="231">
        <f t="shared" ref="E68:E76" si="4">SUM(F68:H68)</f>
        <v>21626</v>
      </c>
      <c r="F68" s="231">
        <f>기초내역!H396</f>
        <v>17593</v>
      </c>
      <c r="G68" s="231">
        <f>기초내역!J396</f>
        <v>1499</v>
      </c>
      <c r="H68" s="231">
        <f>기초내역!L396</f>
        <v>2534</v>
      </c>
    </row>
    <row r="69" spans="1:8" ht="15" customHeight="1">
      <c r="A69" s="1">
        <v>66</v>
      </c>
      <c r="B69" s="231" t="s">
        <v>1529</v>
      </c>
      <c r="C69" s="1">
        <v>1</v>
      </c>
      <c r="D69" s="1" t="s">
        <v>1069</v>
      </c>
      <c r="E69" s="231">
        <f t="shared" si="4"/>
        <v>26843</v>
      </c>
      <c r="F69" s="231">
        <f>기초내역!H402</f>
        <v>22198</v>
      </c>
      <c r="G69" s="231">
        <f>기초내역!J402</f>
        <v>1638</v>
      </c>
      <c r="H69" s="231">
        <f>기초내역!L402</f>
        <v>3007</v>
      </c>
    </row>
    <row r="70" spans="1:8" ht="15" customHeight="1">
      <c r="A70" s="1">
        <v>67</v>
      </c>
      <c r="B70" s="231" t="s">
        <v>41</v>
      </c>
      <c r="C70" s="1">
        <v>1</v>
      </c>
      <c r="D70" s="1" t="s">
        <v>1069</v>
      </c>
      <c r="E70" s="231">
        <f t="shared" si="4"/>
        <v>33348</v>
      </c>
      <c r="F70" s="231">
        <f>기초내역!H408</f>
        <v>27773</v>
      </c>
      <c r="G70" s="231">
        <f>기초내역!J408</f>
        <v>1914</v>
      </c>
      <c r="H70" s="231">
        <f>기초내역!L408</f>
        <v>3661</v>
      </c>
    </row>
    <row r="71" spans="1:8" ht="15" customHeight="1">
      <c r="A71" s="1">
        <v>68</v>
      </c>
      <c r="B71" s="231" t="s">
        <v>1530</v>
      </c>
      <c r="C71" s="1">
        <v>1</v>
      </c>
      <c r="D71" s="1" t="s">
        <v>1069</v>
      </c>
      <c r="E71" s="231">
        <f t="shared" si="4"/>
        <v>38750</v>
      </c>
      <c r="F71" s="231">
        <f>기초내역!H414</f>
        <v>32551</v>
      </c>
      <c r="G71" s="231">
        <f>기초내역!J414</f>
        <v>2052</v>
      </c>
      <c r="H71" s="231">
        <f>기초내역!L414</f>
        <v>4147</v>
      </c>
    </row>
    <row r="72" spans="1:8" ht="15" customHeight="1">
      <c r="A72" s="1">
        <v>69</v>
      </c>
      <c r="B72" s="231" t="s">
        <v>1531</v>
      </c>
      <c r="C72" s="1">
        <v>1</v>
      </c>
      <c r="D72" s="1" t="s">
        <v>1069</v>
      </c>
      <c r="E72" s="231">
        <f t="shared" si="4"/>
        <v>56128</v>
      </c>
      <c r="F72" s="231">
        <f>기초내역!H420</f>
        <v>47727</v>
      </c>
      <c r="G72" s="231">
        <f>기초내역!J420</f>
        <v>2616</v>
      </c>
      <c r="H72" s="231">
        <f>기초내역!L420</f>
        <v>5785</v>
      </c>
    </row>
    <row r="73" spans="1:8" ht="15" customHeight="1">
      <c r="A73" s="1">
        <v>70</v>
      </c>
      <c r="B73" s="231" t="s">
        <v>1790</v>
      </c>
      <c r="C73" s="1">
        <v>1</v>
      </c>
      <c r="D73" s="1" t="s">
        <v>1069</v>
      </c>
      <c r="E73" s="231">
        <f>SUM(F73:H73)</f>
        <v>73717</v>
      </c>
      <c r="F73" s="231">
        <f>기초내역!H426</f>
        <v>63081</v>
      </c>
      <c r="G73" s="231">
        <f>기초내역!J426</f>
        <v>3191</v>
      </c>
      <c r="H73" s="231">
        <f>기초내역!L426</f>
        <v>7445</v>
      </c>
    </row>
    <row r="74" spans="1:8" ht="15" customHeight="1">
      <c r="A74" s="1">
        <v>71</v>
      </c>
      <c r="B74" s="231" t="s">
        <v>2194</v>
      </c>
      <c r="C74" s="1">
        <v>1</v>
      </c>
      <c r="D74" s="1" t="s">
        <v>1069</v>
      </c>
      <c r="E74" s="231">
        <f t="shared" si="4"/>
        <v>85442</v>
      </c>
      <c r="F74" s="231">
        <f>기초내역!H432</f>
        <v>73315</v>
      </c>
      <c r="G74" s="231">
        <f>기초내역!J432</f>
        <v>3574</v>
      </c>
      <c r="H74" s="231">
        <f>기초내역!L432</f>
        <v>8553</v>
      </c>
    </row>
    <row r="75" spans="1:8" ht="15" customHeight="1">
      <c r="A75" s="1">
        <v>72</v>
      </c>
      <c r="B75" s="231" t="s">
        <v>2090</v>
      </c>
      <c r="C75" s="1">
        <v>1</v>
      </c>
      <c r="D75" s="1" t="s">
        <v>1069</v>
      </c>
      <c r="E75" s="231">
        <f>SUM(F75:H75)</f>
        <v>119278</v>
      </c>
      <c r="F75" s="231">
        <f>기초내역!H438</f>
        <v>100502</v>
      </c>
      <c r="G75" s="231">
        <f>기초내역!J438</f>
        <v>8084</v>
      </c>
      <c r="H75" s="231">
        <f>기초내역!L438</f>
        <v>10692</v>
      </c>
    </row>
    <row r="76" spans="1:8" ht="15" customHeight="1">
      <c r="A76" s="1">
        <v>73</v>
      </c>
      <c r="B76" s="231" t="s">
        <v>1777</v>
      </c>
      <c r="C76" s="1">
        <v>1</v>
      </c>
      <c r="D76" s="1" t="s">
        <v>1069</v>
      </c>
      <c r="E76" s="231">
        <f t="shared" si="4"/>
        <v>150476</v>
      </c>
      <c r="F76" s="231">
        <f>기초내역!H444</f>
        <v>126763</v>
      </c>
      <c r="G76" s="231">
        <f>기초내역!J444</f>
        <v>10211</v>
      </c>
      <c r="H76" s="231">
        <f>기초내역!L444</f>
        <v>13502</v>
      </c>
    </row>
    <row r="77" spans="1:8" ht="15" customHeight="1">
      <c r="A77" s="1">
        <v>74</v>
      </c>
      <c r="B77" s="231" t="s">
        <v>2077</v>
      </c>
      <c r="C77" s="1">
        <v>1</v>
      </c>
      <c r="D77" s="1" t="s">
        <v>1069</v>
      </c>
      <c r="E77" s="231">
        <f>SUM(F77:H77)</f>
        <v>223760</v>
      </c>
      <c r="F77" s="231">
        <f>기초내역!H450</f>
        <v>188445</v>
      </c>
      <c r="G77" s="231">
        <f>기초내역!J450</f>
        <v>15210</v>
      </c>
      <c r="H77" s="231">
        <f>기초내역!L450</f>
        <v>20105</v>
      </c>
    </row>
    <row r="78" spans="1:8" ht="15" customHeight="1">
      <c r="A78" s="1">
        <v>75</v>
      </c>
      <c r="B78" s="231" t="s">
        <v>2185</v>
      </c>
      <c r="C78" s="1">
        <v>1</v>
      </c>
      <c r="D78" s="1" t="s">
        <v>1906</v>
      </c>
      <c r="E78" s="231">
        <f>SUM(F78:H78)</f>
        <v>127126</v>
      </c>
      <c r="F78" s="231">
        <f>기초내역!H456</f>
        <v>114253</v>
      </c>
      <c r="G78" s="231">
        <f>기초내역!J456</f>
        <v>5105</v>
      </c>
      <c r="H78" s="231">
        <f>기초내역!L456</f>
        <v>7768</v>
      </c>
    </row>
    <row r="79" spans="1:8" ht="15" customHeight="1">
      <c r="A79" s="1">
        <v>76</v>
      </c>
      <c r="B79" s="231" t="s">
        <v>2043</v>
      </c>
      <c r="C79" s="1">
        <v>1</v>
      </c>
      <c r="D79" s="1" t="s">
        <v>1069</v>
      </c>
      <c r="E79" s="231">
        <f>SUM(F79:H79)</f>
        <v>299350</v>
      </c>
      <c r="F79" s="231">
        <f>기초내역!H462</f>
        <v>252387</v>
      </c>
      <c r="G79" s="231">
        <f>기초내역!J462</f>
        <v>20210</v>
      </c>
      <c r="H79" s="231">
        <f>기초내역!L462</f>
        <v>26753</v>
      </c>
    </row>
    <row r="80" spans="1:8" ht="15" customHeight="1">
      <c r="A80" s="1">
        <v>77</v>
      </c>
      <c r="B80" s="231" t="s">
        <v>2044</v>
      </c>
      <c r="C80" s="1">
        <v>1</v>
      </c>
      <c r="D80" s="1" t="s">
        <v>1069</v>
      </c>
      <c r="E80" s="231">
        <f>SUM(F80:H80)</f>
        <v>223760</v>
      </c>
      <c r="F80" s="231">
        <f>기초내역!H468</f>
        <v>188445</v>
      </c>
      <c r="G80" s="231">
        <f>기초내역!J468</f>
        <v>15210</v>
      </c>
      <c r="H80" s="231">
        <f>기초내역!L468</f>
        <v>20105</v>
      </c>
    </row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</sheetData>
  <customSheetViews>
    <customSheetView guid="{D73D5080-A04E-11D4-B8A5-00609727EAB1}" showPageBreaks="1" showRuler="0" topLeftCell="A89">
      <selection activeCell="F95" sqref="F95"/>
      <pageMargins left="0.56000000000000005" right="0.56000000000000005" top="1" bottom="1.03" header="0.5" footer="0.5"/>
      <pageSetup paperSize="9" orientation="landscape" horizontalDpi="300" verticalDpi="300" r:id="rId1"/>
      <headerFooter alignWithMargins="0"/>
    </customSheetView>
    <customSheetView guid="{2D877E0D-A04C-11D4-947E-00001C044B2C}" showRuler="0" topLeftCell="A97">
      <selection activeCell="E100" sqref="E100"/>
      <pageMargins left="0.56000000000000005" right="0.56000000000000005" top="1" bottom="1.03" header="0.5" footer="0.5"/>
      <pageSetup paperSize="9" orientation="landscape" horizontalDpi="300" verticalDpi="300" r:id="rId2"/>
      <headerFooter alignWithMargins="0"/>
    </customSheetView>
    <customSheetView guid="{6F21C780-A002-11D4-A1D9-00104BD549C6}" showRuler="0" topLeftCell="A97">
      <selection activeCell="E100" sqref="E100"/>
      <pageMargins left="0.56000000000000005" right="0.56000000000000005" top="1" bottom="1.03" header="0.5" footer="0.5"/>
      <pageSetup paperSize="9" orientation="landscape" horizontalDpi="300" verticalDpi="300" r:id="rId3"/>
      <headerFooter alignWithMargins="0"/>
    </customSheetView>
  </customSheetViews>
  <mergeCells count="1">
    <mergeCell ref="A1:B1"/>
  </mergeCells>
  <phoneticPr fontId="3" type="noConversion"/>
  <printOptions horizontalCentered="1"/>
  <pageMargins left="0.39370078740157483" right="0.39370078740157483" top="0.7" bottom="0.59055118110236227" header="0.39370078740157483" footer="0.39370078740157483"/>
  <pageSetup paperSize="9" orientation="landscape" r:id="rId4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9"/>
  <dimension ref="A1:L468"/>
  <sheetViews>
    <sheetView topLeftCell="A325" workbookViewId="0">
      <selection activeCell="F317" sqref="F317"/>
    </sheetView>
  </sheetViews>
  <sheetFormatPr defaultColWidth="8.88671875" defaultRowHeight="15" customHeight="1"/>
  <cols>
    <col min="1" max="1" width="14.5546875" style="10" customWidth="1"/>
    <col min="2" max="2" width="15.77734375" style="323" customWidth="1"/>
    <col min="3" max="3" width="8" style="10" customWidth="1"/>
    <col min="4" max="4" width="5.5546875" style="10" customWidth="1"/>
    <col min="5" max="5" width="9.33203125" style="80" customWidth="1"/>
    <col min="6" max="6" width="10.44140625" style="80" customWidth="1"/>
    <col min="7" max="7" width="8.5546875" style="80" customWidth="1"/>
    <col min="8" max="8" width="10.5546875" style="80" customWidth="1"/>
    <col min="9" max="9" width="8.6640625" style="80" customWidth="1"/>
    <col min="10" max="10" width="9.33203125" style="80" customWidth="1"/>
    <col min="11" max="11" width="8.5546875" style="80" customWidth="1"/>
    <col min="12" max="12" width="9.44140625" style="80" customWidth="1"/>
    <col min="13" max="16384" width="8.88671875" style="10"/>
  </cols>
  <sheetData>
    <row r="1" spans="1:12" ht="15" customHeight="1">
      <c r="A1" s="4" t="s">
        <v>1487</v>
      </c>
      <c r="B1" s="310"/>
      <c r="C1" s="94"/>
      <c r="D1" s="94"/>
      <c r="E1" s="296"/>
      <c r="F1" s="296"/>
      <c r="G1" s="296"/>
      <c r="H1" s="296"/>
      <c r="I1" s="296"/>
      <c r="J1" s="296"/>
      <c r="K1" s="296"/>
      <c r="L1" s="296"/>
    </row>
    <row r="2" spans="1:12" ht="13.5" customHeight="1">
      <c r="A2" s="1104" t="s">
        <v>407</v>
      </c>
      <c r="B2" s="609" t="s">
        <v>1488</v>
      </c>
      <c r="C2" s="1104" t="s">
        <v>408</v>
      </c>
      <c r="D2" s="1104" t="s">
        <v>1489</v>
      </c>
      <c r="E2" s="610" t="s">
        <v>597</v>
      </c>
      <c r="F2" s="611"/>
      <c r="G2" s="611" t="s">
        <v>513</v>
      </c>
      <c r="H2" s="611"/>
      <c r="I2" s="611" t="s">
        <v>514</v>
      </c>
      <c r="J2" s="611"/>
      <c r="K2" s="611" t="s">
        <v>598</v>
      </c>
      <c r="L2" s="612"/>
    </row>
    <row r="3" spans="1:12" ht="13.5" customHeight="1">
      <c r="A3" s="1104"/>
      <c r="B3" s="613" t="s">
        <v>599</v>
      </c>
      <c r="C3" s="1104"/>
      <c r="D3" s="1104"/>
      <c r="E3" s="614" t="s">
        <v>1267</v>
      </c>
      <c r="F3" s="615" t="s">
        <v>600</v>
      </c>
      <c r="G3" s="615" t="s">
        <v>1267</v>
      </c>
      <c r="H3" s="615" t="s">
        <v>600</v>
      </c>
      <c r="I3" s="615" t="s">
        <v>1267</v>
      </c>
      <c r="J3" s="615" t="s">
        <v>600</v>
      </c>
      <c r="K3" s="615" t="s">
        <v>1267</v>
      </c>
      <c r="L3" s="616" t="s">
        <v>600</v>
      </c>
    </row>
    <row r="4" spans="1:12" ht="13.5" customHeight="1">
      <c r="A4" s="209"/>
      <c r="B4" s="311"/>
      <c r="C4" s="95"/>
      <c r="D4" s="95"/>
      <c r="E4" s="312">
        <v>1</v>
      </c>
      <c r="F4" s="313" t="s">
        <v>1490</v>
      </c>
      <c r="G4" s="313"/>
      <c r="H4" s="95"/>
      <c r="I4" s="313"/>
      <c r="J4" s="313" t="s">
        <v>519</v>
      </c>
      <c r="K4" s="313"/>
      <c r="L4" s="314"/>
    </row>
    <row r="5" spans="1:12" ht="13.5" customHeight="1">
      <c r="A5" s="141" t="s">
        <v>601</v>
      </c>
      <c r="B5" s="315" t="s">
        <v>1329</v>
      </c>
      <c r="C5" s="142">
        <v>0.16</v>
      </c>
      <c r="D5" s="316" t="s">
        <v>1328</v>
      </c>
      <c r="E5" s="317">
        <f>G5+I5+K5</f>
        <v>172068</v>
      </c>
      <c r="F5" s="317">
        <f>H5+J5+L5</f>
        <v>27530</v>
      </c>
      <c r="G5" s="317">
        <f>노임!D14</f>
        <v>172068</v>
      </c>
      <c r="H5" s="317">
        <f>INT(G5*C5)</f>
        <v>27530</v>
      </c>
      <c r="I5" s="317"/>
      <c r="J5" s="317">
        <f>INT(I5*C5)</f>
        <v>0</v>
      </c>
      <c r="K5" s="317"/>
      <c r="L5" s="318">
        <f>INT(K5*C5)</f>
        <v>0</v>
      </c>
    </row>
    <row r="6" spans="1:12" ht="13.5" customHeight="1">
      <c r="A6" s="145" t="s">
        <v>602</v>
      </c>
      <c r="B6" s="319"/>
      <c r="C6" s="146">
        <v>0</v>
      </c>
      <c r="D6" s="320" t="s">
        <v>1328</v>
      </c>
      <c r="E6" s="321">
        <f>G6+I6+K6</f>
        <v>215907</v>
      </c>
      <c r="F6" s="321">
        <f>H6+J6+L6</f>
        <v>0</v>
      </c>
      <c r="G6" s="321">
        <f>노임!D11</f>
        <v>215907</v>
      </c>
      <c r="H6" s="321">
        <f>INT(G6*C6)</f>
        <v>0</v>
      </c>
      <c r="I6" s="321"/>
      <c r="J6" s="321">
        <f>INT(I6*C6)</f>
        <v>0</v>
      </c>
      <c r="K6" s="321"/>
      <c r="L6" s="322">
        <f>INT(K6*C6)</f>
        <v>0</v>
      </c>
    </row>
    <row r="7" spans="1:12" ht="13.5" customHeight="1">
      <c r="A7" s="145" t="s">
        <v>617</v>
      </c>
      <c r="B7" s="319"/>
      <c r="C7" s="146"/>
      <c r="D7" s="146"/>
      <c r="E7" s="321"/>
      <c r="F7" s="321">
        <f>H7+J7+L7</f>
        <v>27530</v>
      </c>
      <c r="G7" s="321"/>
      <c r="H7" s="321">
        <f>SUM(H5:H6)</f>
        <v>27530</v>
      </c>
      <c r="I7" s="321"/>
      <c r="J7" s="321">
        <f>SUM(J5:J6)</f>
        <v>0</v>
      </c>
      <c r="K7" s="321"/>
      <c r="L7" s="322">
        <f>SUM(L5:L6)</f>
        <v>0</v>
      </c>
    </row>
    <row r="8" spans="1:12" ht="13.5" customHeight="1">
      <c r="A8" s="209"/>
      <c r="B8" s="311"/>
      <c r="C8" s="95"/>
      <c r="D8" s="95"/>
      <c r="E8" s="312">
        <f>E4+1</f>
        <v>2</v>
      </c>
      <c r="F8" s="313" t="s">
        <v>1491</v>
      </c>
      <c r="G8" s="313"/>
      <c r="H8" s="95"/>
      <c r="I8" s="313"/>
      <c r="J8" s="313" t="s">
        <v>519</v>
      </c>
      <c r="K8" s="313"/>
      <c r="L8" s="314"/>
    </row>
    <row r="9" spans="1:12" ht="13.5" customHeight="1">
      <c r="A9" s="145" t="s">
        <v>1329</v>
      </c>
      <c r="B9" s="319"/>
      <c r="C9" s="146">
        <v>0.2</v>
      </c>
      <c r="D9" s="320" t="s">
        <v>1328</v>
      </c>
      <c r="E9" s="321">
        <f>G9+I9+K9</f>
        <v>172068</v>
      </c>
      <c r="F9" s="321">
        <f>H9+J9+L9</f>
        <v>34413</v>
      </c>
      <c r="G9" s="321">
        <f>노임!D14</f>
        <v>172068</v>
      </c>
      <c r="H9" s="321">
        <f>INT(G9*C9)</f>
        <v>34413</v>
      </c>
      <c r="I9" s="321">
        <v>0</v>
      </c>
      <c r="J9" s="321">
        <f>INT(I9*C9)</f>
        <v>0</v>
      </c>
      <c r="K9" s="321"/>
      <c r="L9" s="322">
        <f>INT(K9*C9)</f>
        <v>0</v>
      </c>
    </row>
    <row r="10" spans="1:12" ht="13.5" customHeight="1">
      <c r="A10" s="145" t="s">
        <v>602</v>
      </c>
      <c r="B10" s="319"/>
      <c r="C10" s="146">
        <v>0</v>
      </c>
      <c r="D10" s="320" t="s">
        <v>1328</v>
      </c>
      <c r="E10" s="321">
        <f>G10+I10+K10</f>
        <v>215907</v>
      </c>
      <c r="F10" s="321">
        <f>H10+J10+L10</f>
        <v>0</v>
      </c>
      <c r="G10" s="321">
        <f>노임!D11</f>
        <v>215907</v>
      </c>
      <c r="H10" s="321">
        <f>INT(G10*C10)</f>
        <v>0</v>
      </c>
      <c r="I10" s="321">
        <v>0</v>
      </c>
      <c r="J10" s="321">
        <f>INT(I10*C10)</f>
        <v>0</v>
      </c>
      <c r="K10" s="321"/>
      <c r="L10" s="322">
        <f>INT(K10*C10)</f>
        <v>0</v>
      </c>
    </row>
    <row r="11" spans="1:12" ht="13.5" customHeight="1">
      <c r="A11" s="145" t="s">
        <v>617</v>
      </c>
      <c r="B11" s="319"/>
      <c r="C11" s="146"/>
      <c r="D11" s="146"/>
      <c r="E11" s="321"/>
      <c r="F11" s="321">
        <f>H11+J11+L11</f>
        <v>34413</v>
      </c>
      <c r="G11" s="321"/>
      <c r="H11" s="321">
        <f>SUM(H9:H10)</f>
        <v>34413</v>
      </c>
      <c r="I11" s="321"/>
      <c r="J11" s="321">
        <f>SUM(J9:J10)</f>
        <v>0</v>
      </c>
      <c r="K11" s="321"/>
      <c r="L11" s="322">
        <f>SUM(L9:L10)</f>
        <v>0</v>
      </c>
    </row>
    <row r="12" spans="1:12" ht="13.5" customHeight="1">
      <c r="A12" s="209"/>
      <c r="B12" s="311"/>
      <c r="C12" s="95"/>
      <c r="D12" s="95"/>
      <c r="E12" s="312">
        <f>E8+1</f>
        <v>3</v>
      </c>
      <c r="F12" s="313" t="s">
        <v>1495</v>
      </c>
      <c r="G12" s="313"/>
      <c r="H12" s="95"/>
      <c r="I12" s="313"/>
      <c r="J12" s="313" t="s">
        <v>519</v>
      </c>
      <c r="K12" s="313"/>
      <c r="L12" s="314"/>
    </row>
    <row r="13" spans="1:12" ht="13.5" customHeight="1">
      <c r="A13" s="145" t="s">
        <v>603</v>
      </c>
      <c r="B13" s="319"/>
      <c r="C13" s="146">
        <v>0.57999999999999996</v>
      </c>
      <c r="D13" s="320" t="s">
        <v>1328</v>
      </c>
      <c r="E13" s="321">
        <f t="shared" ref="E13:E18" si="0">G13+I13+K13</f>
        <v>220081</v>
      </c>
      <c r="F13" s="321">
        <f t="shared" ref="F13:F18" si="1">H13+J13+L13</f>
        <v>127646</v>
      </c>
      <c r="G13" s="321">
        <f>노임!D8</f>
        <v>220081</v>
      </c>
      <c r="H13" s="321">
        <f t="shared" ref="H13:H18" si="2">INT(G13*C13)</f>
        <v>127646</v>
      </c>
      <c r="I13" s="321"/>
      <c r="J13" s="321">
        <f t="shared" ref="J13:J18" si="3">INT(I13*C13)</f>
        <v>0</v>
      </c>
      <c r="K13" s="321"/>
      <c r="L13" s="322">
        <f t="shared" ref="L13:L18" si="4">INT(K13*C13)</f>
        <v>0</v>
      </c>
    </row>
    <row r="14" spans="1:12" ht="13.5" customHeight="1">
      <c r="A14" s="145" t="s">
        <v>1329</v>
      </c>
      <c r="B14" s="319"/>
      <c r="C14" s="146">
        <v>0.28999999999999998</v>
      </c>
      <c r="D14" s="320" t="s">
        <v>1328</v>
      </c>
      <c r="E14" s="321">
        <f t="shared" si="0"/>
        <v>172068</v>
      </c>
      <c r="F14" s="321">
        <f t="shared" si="1"/>
        <v>49899</v>
      </c>
      <c r="G14" s="321">
        <f>노임!D14</f>
        <v>172068</v>
      </c>
      <c r="H14" s="321">
        <f t="shared" si="2"/>
        <v>49899</v>
      </c>
      <c r="I14" s="321"/>
      <c r="J14" s="321">
        <f t="shared" si="3"/>
        <v>0</v>
      </c>
      <c r="K14" s="321"/>
      <c r="L14" s="322">
        <f t="shared" si="4"/>
        <v>0</v>
      </c>
    </row>
    <row r="15" spans="1:12" ht="13.5" customHeight="1">
      <c r="A15" s="145" t="s">
        <v>604</v>
      </c>
      <c r="B15" s="319" t="s">
        <v>706</v>
      </c>
      <c r="C15" s="146">
        <v>0.6</v>
      </c>
      <c r="D15" s="320" t="s">
        <v>605</v>
      </c>
      <c r="E15" s="321">
        <f t="shared" si="0"/>
        <v>77886</v>
      </c>
      <c r="F15" s="321">
        <f t="shared" si="1"/>
        <v>46731</v>
      </c>
      <c r="G15" s="321">
        <f>중기일람!D23</f>
        <v>57077</v>
      </c>
      <c r="H15" s="321">
        <f t="shared" si="2"/>
        <v>34246</v>
      </c>
      <c r="I15" s="321">
        <f>중기일람!E23</f>
        <v>17729</v>
      </c>
      <c r="J15" s="321">
        <f t="shared" si="3"/>
        <v>10637</v>
      </c>
      <c r="K15" s="321">
        <f>중기일람!F23</f>
        <v>3080</v>
      </c>
      <c r="L15" s="322">
        <f t="shared" si="4"/>
        <v>1848</v>
      </c>
    </row>
    <row r="16" spans="1:12" ht="13.5" customHeight="1">
      <c r="A16" s="145" t="s">
        <v>705</v>
      </c>
      <c r="B16" s="319" t="s">
        <v>1492</v>
      </c>
      <c r="C16" s="146">
        <v>2.4</v>
      </c>
      <c r="D16" s="320" t="s">
        <v>605</v>
      </c>
      <c r="E16" s="321">
        <f t="shared" si="0"/>
        <v>374</v>
      </c>
      <c r="F16" s="321">
        <f t="shared" si="1"/>
        <v>897</v>
      </c>
      <c r="G16" s="321">
        <f>중기일람!D26</f>
        <v>0</v>
      </c>
      <c r="H16" s="321">
        <f t="shared" si="2"/>
        <v>0</v>
      </c>
      <c r="I16" s="321">
        <f>중기일람!E26</f>
        <v>0</v>
      </c>
      <c r="J16" s="321">
        <f t="shared" si="3"/>
        <v>0</v>
      </c>
      <c r="K16" s="321">
        <f>중기일람!F26</f>
        <v>374</v>
      </c>
      <c r="L16" s="322">
        <f t="shared" si="4"/>
        <v>897</v>
      </c>
    </row>
    <row r="17" spans="1:12" ht="13.5" customHeight="1">
      <c r="A17" s="145" t="s">
        <v>606</v>
      </c>
      <c r="B17" s="319" t="s">
        <v>607</v>
      </c>
      <c r="C17" s="146">
        <v>2.4</v>
      </c>
      <c r="D17" s="320" t="s">
        <v>605</v>
      </c>
      <c r="E17" s="321">
        <f t="shared" si="0"/>
        <v>48</v>
      </c>
      <c r="F17" s="321">
        <f t="shared" si="1"/>
        <v>115</v>
      </c>
      <c r="G17" s="321">
        <f>중기일람!D25</f>
        <v>0</v>
      </c>
      <c r="H17" s="321">
        <f t="shared" si="2"/>
        <v>0</v>
      </c>
      <c r="I17" s="321">
        <f>중기일람!E25</f>
        <v>0</v>
      </c>
      <c r="J17" s="321">
        <f t="shared" si="3"/>
        <v>0</v>
      </c>
      <c r="K17" s="321">
        <f>중기일람!F25</f>
        <v>48</v>
      </c>
      <c r="L17" s="322">
        <f t="shared" si="4"/>
        <v>115</v>
      </c>
    </row>
    <row r="18" spans="1:12" ht="13.5" customHeight="1">
      <c r="A18" s="145" t="s">
        <v>1493</v>
      </c>
      <c r="B18" s="319" t="s">
        <v>1494</v>
      </c>
      <c r="C18" s="146">
        <v>0.01</v>
      </c>
      <c r="D18" s="320"/>
      <c r="E18" s="321">
        <f t="shared" si="0"/>
        <v>177545</v>
      </c>
      <c r="F18" s="321">
        <f t="shared" si="1"/>
        <v>1775</v>
      </c>
      <c r="G18" s="321"/>
      <c r="H18" s="321">
        <f t="shared" si="2"/>
        <v>0</v>
      </c>
      <c r="I18" s="321">
        <f>SUM(H13:H14)</f>
        <v>177545</v>
      </c>
      <c r="J18" s="321">
        <f t="shared" si="3"/>
        <v>1775</v>
      </c>
      <c r="K18" s="321"/>
      <c r="L18" s="322">
        <f t="shared" si="4"/>
        <v>0</v>
      </c>
    </row>
    <row r="19" spans="1:12" ht="13.5" customHeight="1">
      <c r="A19" s="145" t="s">
        <v>617</v>
      </c>
      <c r="B19" s="319"/>
      <c r="C19" s="146"/>
      <c r="D19" s="146"/>
      <c r="E19" s="321"/>
      <c r="F19" s="321">
        <f>H19+J19+L19</f>
        <v>227063</v>
      </c>
      <c r="G19" s="321"/>
      <c r="H19" s="321">
        <f>SUM(H13:H18)</f>
        <v>211791</v>
      </c>
      <c r="I19" s="321"/>
      <c r="J19" s="321">
        <f>SUM(J13:J18)</f>
        <v>12412</v>
      </c>
      <c r="K19" s="321"/>
      <c r="L19" s="322">
        <f>SUM(L13:L18)</f>
        <v>2860</v>
      </c>
    </row>
    <row r="20" spans="1:12" ht="13.5" customHeight="1">
      <c r="A20" s="209"/>
      <c r="B20" s="311"/>
      <c r="C20" s="95"/>
      <c r="D20" s="95"/>
      <c r="E20" s="312">
        <f>E12+1</f>
        <v>4</v>
      </c>
      <c r="F20" s="313" t="s">
        <v>644</v>
      </c>
      <c r="G20" s="313"/>
      <c r="H20" s="95"/>
      <c r="I20" s="313"/>
      <c r="J20" s="313" t="s">
        <v>519</v>
      </c>
      <c r="K20" s="313"/>
      <c r="L20" s="314"/>
    </row>
    <row r="21" spans="1:12" ht="13.5" customHeight="1">
      <c r="A21" s="145" t="s">
        <v>644</v>
      </c>
      <c r="B21" s="319" t="s">
        <v>1496</v>
      </c>
      <c r="C21" s="146">
        <v>1</v>
      </c>
      <c r="D21" s="320" t="s">
        <v>1014</v>
      </c>
      <c r="E21" s="326">
        <f>G21+I21+K21</f>
        <v>4864</v>
      </c>
      <c r="F21" s="326">
        <f>H21+J21+L21</f>
        <v>4864</v>
      </c>
      <c r="G21" s="326">
        <f>기초단위당!H4</f>
        <v>2776</v>
      </c>
      <c r="H21" s="326">
        <f>INT(G21*C21)</f>
        <v>2776</v>
      </c>
      <c r="I21" s="326">
        <f>기초단위당!I4</f>
        <v>1051</v>
      </c>
      <c r="J21" s="321">
        <f>INT(I21*C21)</f>
        <v>1051</v>
      </c>
      <c r="K21" s="321">
        <f>기초단위당!J4</f>
        <v>1037</v>
      </c>
      <c r="L21" s="322">
        <f>INT(K21*C21)</f>
        <v>1037</v>
      </c>
    </row>
    <row r="22" spans="1:12" ht="13.5" customHeight="1">
      <c r="A22" s="145" t="s">
        <v>617</v>
      </c>
      <c r="B22" s="319"/>
      <c r="C22" s="146"/>
      <c r="D22" s="146"/>
      <c r="E22" s="321"/>
      <c r="F22" s="321">
        <f>H22+J22+L22</f>
        <v>4864</v>
      </c>
      <c r="G22" s="321"/>
      <c r="H22" s="321">
        <f>SUM(H21)</f>
        <v>2776</v>
      </c>
      <c r="I22" s="321"/>
      <c r="J22" s="321">
        <f>SUM(J21)</f>
        <v>1051</v>
      </c>
      <c r="K22" s="321"/>
      <c r="L22" s="322">
        <f>SUM(L21)</f>
        <v>1037</v>
      </c>
    </row>
    <row r="23" spans="1:12" ht="13.5" customHeight="1">
      <c r="A23" s="209"/>
      <c r="B23" s="311"/>
      <c r="C23" s="95"/>
      <c r="D23" s="95"/>
      <c r="E23" s="312">
        <f>E20+1</f>
        <v>5</v>
      </c>
      <c r="F23" s="313" t="s">
        <v>1497</v>
      </c>
      <c r="G23" s="313"/>
      <c r="H23" s="95"/>
      <c r="I23" s="313"/>
      <c r="J23" s="313" t="s">
        <v>519</v>
      </c>
      <c r="K23" s="313"/>
      <c r="L23" s="314"/>
    </row>
    <row r="24" spans="1:12" ht="13.5" customHeight="1">
      <c r="A24" s="145" t="s">
        <v>1329</v>
      </c>
      <c r="B24" s="319"/>
      <c r="C24" s="146">
        <v>0.1</v>
      </c>
      <c r="D24" s="320" t="s">
        <v>1328</v>
      </c>
      <c r="E24" s="321">
        <f>G24+I24+K24</f>
        <v>172068</v>
      </c>
      <c r="F24" s="321">
        <f>H24+J24+L24</f>
        <v>17206</v>
      </c>
      <c r="G24" s="321">
        <f>노임!D14</f>
        <v>172068</v>
      </c>
      <c r="H24" s="321">
        <f>INT(G24*C24)</f>
        <v>17206</v>
      </c>
      <c r="I24" s="321">
        <v>0</v>
      </c>
      <c r="J24" s="321">
        <f>INT(I24*C24)</f>
        <v>0</v>
      </c>
      <c r="K24" s="321">
        <v>0</v>
      </c>
      <c r="L24" s="322">
        <f>INT(K24*C24)</f>
        <v>0</v>
      </c>
    </row>
    <row r="25" spans="1:12" ht="13.5" customHeight="1">
      <c r="A25" s="145" t="s">
        <v>602</v>
      </c>
      <c r="B25" s="319"/>
      <c r="C25" s="146">
        <v>0</v>
      </c>
      <c r="D25" s="320" t="s">
        <v>1328</v>
      </c>
      <c r="E25" s="321">
        <f>G25+I25+K25</f>
        <v>215907</v>
      </c>
      <c r="F25" s="321">
        <f>H25+J25+L25</f>
        <v>0</v>
      </c>
      <c r="G25" s="321">
        <f>노임!D11</f>
        <v>215907</v>
      </c>
      <c r="H25" s="321">
        <f>INT(G25*C25)</f>
        <v>0</v>
      </c>
      <c r="I25" s="321">
        <v>0</v>
      </c>
      <c r="J25" s="321">
        <f>INT(I25*C25)</f>
        <v>0</v>
      </c>
      <c r="K25" s="321">
        <v>0</v>
      </c>
      <c r="L25" s="322">
        <f>INT(K25*C25)</f>
        <v>0</v>
      </c>
    </row>
    <row r="26" spans="1:12" ht="13.5" customHeight="1">
      <c r="A26" s="145" t="s">
        <v>617</v>
      </c>
      <c r="B26" s="319"/>
      <c r="C26" s="146"/>
      <c r="D26" s="146"/>
      <c r="E26" s="321"/>
      <c r="F26" s="321">
        <f>H26+J26+L26</f>
        <v>17206</v>
      </c>
      <c r="G26" s="321"/>
      <c r="H26" s="321">
        <f>SUM(H24:H25)</f>
        <v>17206</v>
      </c>
      <c r="I26" s="321"/>
      <c r="J26" s="321">
        <f>SUM(J24:J25)</f>
        <v>0</v>
      </c>
      <c r="K26" s="321"/>
      <c r="L26" s="322">
        <f>SUM(L24:L25)</f>
        <v>0</v>
      </c>
    </row>
    <row r="27" spans="1:12" ht="13.5" customHeight="1">
      <c r="A27" s="209"/>
      <c r="B27" s="311"/>
      <c r="C27" s="95"/>
      <c r="D27" s="95"/>
      <c r="E27" s="312">
        <f>E23+1</f>
        <v>6</v>
      </c>
      <c r="F27" s="313" t="s">
        <v>1270</v>
      </c>
      <c r="G27" s="313"/>
      <c r="H27" s="95"/>
      <c r="I27" s="313"/>
      <c r="J27" s="313" t="s">
        <v>519</v>
      </c>
      <c r="K27" s="313"/>
      <c r="L27" s="314"/>
    </row>
    <row r="28" spans="1:12" ht="13.5" customHeight="1">
      <c r="A28" s="145" t="s">
        <v>1498</v>
      </c>
      <c r="B28" s="319" t="s">
        <v>1496</v>
      </c>
      <c r="C28" s="146">
        <v>1</v>
      </c>
      <c r="D28" s="320" t="s">
        <v>1014</v>
      </c>
      <c r="E28" s="321">
        <f>G28+I28+K28</f>
        <v>1262</v>
      </c>
      <c r="F28" s="321">
        <f>H28+J28+L28</f>
        <v>1262</v>
      </c>
      <c r="G28" s="321">
        <f>기초단위당!H5</f>
        <v>720</v>
      </c>
      <c r="H28" s="321">
        <f>INT(G28*C28)</f>
        <v>720</v>
      </c>
      <c r="I28" s="321">
        <f>기초단위당!I5</f>
        <v>273</v>
      </c>
      <c r="J28" s="321">
        <f>INT(I28*C28)</f>
        <v>273</v>
      </c>
      <c r="K28" s="321">
        <f>기초단위당!J5</f>
        <v>269</v>
      </c>
      <c r="L28" s="322">
        <f>INT(K28*C28)</f>
        <v>269</v>
      </c>
    </row>
    <row r="29" spans="1:12" ht="13.5" customHeight="1">
      <c r="A29" s="145" t="s">
        <v>617</v>
      </c>
      <c r="B29" s="319"/>
      <c r="C29" s="146"/>
      <c r="D29" s="146"/>
      <c r="E29" s="321"/>
      <c r="F29" s="321">
        <f>H29+J29+L29</f>
        <v>1262</v>
      </c>
      <c r="G29" s="321"/>
      <c r="H29" s="321">
        <f>SUM(H28:H28)</f>
        <v>720</v>
      </c>
      <c r="I29" s="321"/>
      <c r="J29" s="321">
        <f>SUM(J28:J28)</f>
        <v>273</v>
      </c>
      <c r="K29" s="321"/>
      <c r="L29" s="322">
        <f>SUM(L28:L28)</f>
        <v>269</v>
      </c>
    </row>
    <row r="30" spans="1:12" ht="13.5" customHeight="1">
      <c r="A30" s="209"/>
      <c r="B30" s="311"/>
      <c r="C30" s="95"/>
      <c r="D30" s="95"/>
      <c r="E30" s="312">
        <f>E27+1</f>
        <v>7</v>
      </c>
      <c r="F30" s="313" t="s">
        <v>1499</v>
      </c>
      <c r="G30" s="313"/>
      <c r="H30" s="95"/>
      <c r="I30" s="313"/>
      <c r="J30" s="313" t="s">
        <v>519</v>
      </c>
      <c r="K30" s="313"/>
      <c r="L30" s="314"/>
    </row>
    <row r="31" spans="1:12" ht="13.5" customHeight="1">
      <c r="A31" s="145" t="s">
        <v>413</v>
      </c>
      <c r="B31" s="319" t="s">
        <v>1496</v>
      </c>
      <c r="C31" s="146">
        <v>1</v>
      </c>
      <c r="D31" s="320" t="s">
        <v>1014</v>
      </c>
      <c r="E31" s="321">
        <f>G31+I31+K31</f>
        <v>1262</v>
      </c>
      <c r="F31" s="321">
        <f>H31+J31+L31</f>
        <v>1262</v>
      </c>
      <c r="G31" s="321">
        <f>기초단위당!H6</f>
        <v>720</v>
      </c>
      <c r="H31" s="321">
        <f>INT(G31*C31)</f>
        <v>720</v>
      </c>
      <c r="I31" s="321">
        <f>기초단위당!I6</f>
        <v>273</v>
      </c>
      <c r="J31" s="321">
        <f>INT(I31*C31)</f>
        <v>273</v>
      </c>
      <c r="K31" s="321">
        <f>기초단위당!J6</f>
        <v>269</v>
      </c>
      <c r="L31" s="322">
        <f>INT(K31*C31)</f>
        <v>269</v>
      </c>
    </row>
    <row r="32" spans="1:12" ht="13.5" customHeight="1">
      <c r="A32" s="145" t="s">
        <v>617</v>
      </c>
      <c r="B32" s="319"/>
      <c r="C32" s="146"/>
      <c r="D32" s="146"/>
      <c r="E32" s="321"/>
      <c r="F32" s="321">
        <f>H32+J32+L32</f>
        <v>1262</v>
      </c>
      <c r="G32" s="321"/>
      <c r="H32" s="321">
        <f>SUM(H31)</f>
        <v>720</v>
      </c>
      <c r="I32" s="321"/>
      <c r="J32" s="321">
        <f>SUM(J31)</f>
        <v>273</v>
      </c>
      <c r="K32" s="321"/>
      <c r="L32" s="322">
        <f>SUM(L31)</f>
        <v>269</v>
      </c>
    </row>
    <row r="33" spans="1:12" ht="13.5" customHeight="1">
      <c r="A33" s="209"/>
      <c r="B33" s="311"/>
      <c r="C33" s="95"/>
      <c r="D33" s="95"/>
      <c r="E33" s="312">
        <f>E30+1</f>
        <v>8</v>
      </c>
      <c r="F33" s="313" t="s">
        <v>1271</v>
      </c>
      <c r="G33" s="313"/>
      <c r="H33" s="95"/>
      <c r="I33" s="313"/>
      <c r="J33" s="313" t="s">
        <v>519</v>
      </c>
      <c r="K33" s="313"/>
      <c r="L33" s="314"/>
    </row>
    <row r="34" spans="1:12" ht="13.5" customHeight="1">
      <c r="A34" s="145" t="s">
        <v>645</v>
      </c>
      <c r="B34" s="319"/>
      <c r="C34" s="146">
        <v>1</v>
      </c>
      <c r="D34" s="320" t="s">
        <v>1014</v>
      </c>
      <c r="E34" s="321">
        <f>G34+I34+K34</f>
        <v>394</v>
      </c>
      <c r="F34" s="321">
        <f>H34+J34+L34</f>
        <v>394</v>
      </c>
      <c r="G34" s="321">
        <f>기초단위당!H7</f>
        <v>204</v>
      </c>
      <c r="H34" s="321">
        <f>INT(G34*C34)</f>
        <v>204</v>
      </c>
      <c r="I34" s="321">
        <f>기초단위당!I7</f>
        <v>92</v>
      </c>
      <c r="J34" s="321">
        <f>INT(I34*C34)</f>
        <v>92</v>
      </c>
      <c r="K34" s="321">
        <f>기초단위당!J7</f>
        <v>98</v>
      </c>
      <c r="L34" s="322">
        <f>INT(K34*C34)</f>
        <v>98</v>
      </c>
    </row>
    <row r="35" spans="1:12" ht="13.5" customHeight="1">
      <c r="A35" s="145" t="s">
        <v>617</v>
      </c>
      <c r="B35" s="319"/>
      <c r="C35" s="146"/>
      <c r="D35" s="146"/>
      <c r="E35" s="321"/>
      <c r="F35" s="321">
        <f>H35+J35+L35</f>
        <v>394</v>
      </c>
      <c r="G35" s="321"/>
      <c r="H35" s="321">
        <f>SUM(H34)</f>
        <v>204</v>
      </c>
      <c r="I35" s="321"/>
      <c r="J35" s="321">
        <f>SUM(J34)</f>
        <v>92</v>
      </c>
      <c r="K35" s="321"/>
      <c r="L35" s="322">
        <f>SUM(L34)</f>
        <v>98</v>
      </c>
    </row>
    <row r="36" spans="1:12" ht="13.5" customHeight="1">
      <c r="A36" s="209"/>
      <c r="B36" s="311"/>
      <c r="C36" s="95"/>
      <c r="D36" s="95"/>
      <c r="E36" s="312">
        <f>E33+1</f>
        <v>9</v>
      </c>
      <c r="F36" s="313" t="s">
        <v>1272</v>
      </c>
      <c r="G36" s="313"/>
      <c r="H36" s="95"/>
      <c r="I36" s="313"/>
      <c r="J36" s="313" t="s">
        <v>519</v>
      </c>
      <c r="K36" s="313"/>
      <c r="L36" s="314"/>
    </row>
    <row r="37" spans="1:12" ht="13.5" customHeight="1">
      <c r="A37" s="145" t="s">
        <v>646</v>
      </c>
      <c r="B37" s="319"/>
      <c r="C37" s="146">
        <v>1</v>
      </c>
      <c r="D37" s="320" t="s">
        <v>1014</v>
      </c>
      <c r="E37" s="321">
        <f>G37+I37+K37</f>
        <v>865</v>
      </c>
      <c r="F37" s="321">
        <f>H37+J37+L37</f>
        <v>865</v>
      </c>
      <c r="G37" s="321">
        <f>기초단위당!H8</f>
        <v>352</v>
      </c>
      <c r="H37" s="321">
        <f>INT(G37*C37)</f>
        <v>352</v>
      </c>
      <c r="I37" s="321">
        <f>기초단위당!I8</f>
        <v>302</v>
      </c>
      <c r="J37" s="321">
        <f>INT(I37*C37)</f>
        <v>302</v>
      </c>
      <c r="K37" s="321">
        <f>기초단위당!J8</f>
        <v>211</v>
      </c>
      <c r="L37" s="322">
        <f>INT(K37*C37)</f>
        <v>211</v>
      </c>
    </row>
    <row r="38" spans="1:12" ht="13.5" customHeight="1">
      <c r="A38" s="145" t="s">
        <v>617</v>
      </c>
      <c r="B38" s="319"/>
      <c r="C38" s="146"/>
      <c r="D38" s="146"/>
      <c r="E38" s="321"/>
      <c r="F38" s="321">
        <f>H38+J38+L38</f>
        <v>865</v>
      </c>
      <c r="G38" s="321"/>
      <c r="H38" s="321">
        <f>SUM(H37)</f>
        <v>352</v>
      </c>
      <c r="I38" s="321"/>
      <c r="J38" s="321">
        <f>SUM(J37)</f>
        <v>302</v>
      </c>
      <c r="K38" s="321"/>
      <c r="L38" s="322">
        <f>SUM(L37)</f>
        <v>211</v>
      </c>
    </row>
    <row r="39" spans="1:12" ht="13.5" customHeight="1">
      <c r="A39" s="209"/>
      <c r="B39" s="311"/>
      <c r="C39" s="95"/>
      <c r="D39" s="95"/>
      <c r="E39" s="312">
        <f>E36+1</f>
        <v>10</v>
      </c>
      <c r="F39" s="313" t="s">
        <v>1273</v>
      </c>
      <c r="G39" s="313"/>
      <c r="H39" s="95"/>
      <c r="I39" s="313"/>
      <c r="J39" s="313" t="s">
        <v>519</v>
      </c>
      <c r="K39" s="313"/>
      <c r="L39" s="314"/>
    </row>
    <row r="40" spans="1:12" ht="13.5" customHeight="1">
      <c r="A40" s="145" t="s">
        <v>645</v>
      </c>
      <c r="B40" s="319"/>
      <c r="C40" s="146">
        <v>1</v>
      </c>
      <c r="D40" s="320" t="s">
        <v>1014</v>
      </c>
      <c r="E40" s="321">
        <f>G40+I40+K40</f>
        <v>1622</v>
      </c>
      <c r="F40" s="321">
        <f>H40+J40+L40</f>
        <v>1622</v>
      </c>
      <c r="G40" s="321">
        <f>기초단위당!H9</f>
        <v>660</v>
      </c>
      <c r="H40" s="321">
        <f>INT(G40*C40)</f>
        <v>660</v>
      </c>
      <c r="I40" s="321">
        <f>기초단위당!I9</f>
        <v>567</v>
      </c>
      <c r="J40" s="321">
        <f>INT(I40*C40)</f>
        <v>567</v>
      </c>
      <c r="K40" s="321">
        <f>기초단위당!J9</f>
        <v>395</v>
      </c>
      <c r="L40" s="322">
        <f>INT(K40*C40)</f>
        <v>395</v>
      </c>
    </row>
    <row r="41" spans="1:12" ht="13.5" customHeight="1">
      <c r="A41" s="145" t="s">
        <v>617</v>
      </c>
      <c r="B41" s="319"/>
      <c r="C41" s="146"/>
      <c r="D41" s="146"/>
      <c r="E41" s="321"/>
      <c r="F41" s="321">
        <f>H41+J41+L41</f>
        <v>1622</v>
      </c>
      <c r="G41" s="321"/>
      <c r="H41" s="321">
        <f>SUM(H40)</f>
        <v>660</v>
      </c>
      <c r="I41" s="321"/>
      <c r="J41" s="321">
        <f>SUM(J40)</f>
        <v>567</v>
      </c>
      <c r="K41" s="321"/>
      <c r="L41" s="322">
        <f>SUM(L40)</f>
        <v>395</v>
      </c>
    </row>
    <row r="42" spans="1:12" ht="13.5" customHeight="1">
      <c r="A42" s="209"/>
      <c r="B42" s="311"/>
      <c r="C42" s="95"/>
      <c r="D42" s="95"/>
      <c r="E42" s="312">
        <f>E39+1</f>
        <v>11</v>
      </c>
      <c r="F42" s="313" t="s">
        <v>1500</v>
      </c>
      <c r="G42" s="313"/>
      <c r="H42" s="95"/>
      <c r="I42" s="313"/>
      <c r="J42" s="313" t="s">
        <v>519</v>
      </c>
      <c r="K42" s="313"/>
      <c r="L42" s="314"/>
    </row>
    <row r="43" spans="1:12" ht="13.5" customHeight="1">
      <c r="A43" s="145" t="s">
        <v>647</v>
      </c>
      <c r="B43" s="319"/>
      <c r="C43" s="146">
        <v>1</v>
      </c>
      <c r="D43" s="320" t="s">
        <v>1014</v>
      </c>
      <c r="E43" s="321">
        <f>G43+I43+K43</f>
        <v>4240</v>
      </c>
      <c r="F43" s="321">
        <f>H43+J43+L43</f>
        <v>4240</v>
      </c>
      <c r="G43" s="321">
        <f>기초단위당!H10</f>
        <v>3956</v>
      </c>
      <c r="H43" s="321">
        <f>INT(G43*C43)</f>
        <v>3956</v>
      </c>
      <c r="I43" s="321">
        <f>기초단위당!I10</f>
        <v>226</v>
      </c>
      <c r="J43" s="321">
        <f>INT(I43*C43)</f>
        <v>226</v>
      </c>
      <c r="K43" s="321">
        <f>기초단위당!J10</f>
        <v>58</v>
      </c>
      <c r="L43" s="322">
        <f>INT(K43*C43)</f>
        <v>58</v>
      </c>
    </row>
    <row r="44" spans="1:12" ht="13.5" customHeight="1">
      <c r="A44" s="145" t="s">
        <v>617</v>
      </c>
      <c r="B44" s="319"/>
      <c r="C44" s="146"/>
      <c r="D44" s="146"/>
      <c r="E44" s="321"/>
      <c r="F44" s="321">
        <f>H44+J44+L44</f>
        <v>4240</v>
      </c>
      <c r="G44" s="321"/>
      <c r="H44" s="321">
        <f>SUM(H43)</f>
        <v>3956</v>
      </c>
      <c r="I44" s="321"/>
      <c r="J44" s="321">
        <f>SUM(J43)</f>
        <v>226</v>
      </c>
      <c r="K44" s="321"/>
      <c r="L44" s="322">
        <f>SUM(L43)</f>
        <v>58</v>
      </c>
    </row>
    <row r="45" spans="1:12" ht="13.5" customHeight="1">
      <c r="A45" s="209"/>
      <c r="B45" s="311"/>
      <c r="C45" s="95"/>
      <c r="D45" s="95"/>
      <c r="E45" s="312">
        <f>E42+1</f>
        <v>12</v>
      </c>
      <c r="F45" s="313" t="s">
        <v>1501</v>
      </c>
      <c r="G45" s="313"/>
      <c r="H45" s="95"/>
      <c r="I45" s="313"/>
      <c r="J45" s="313" t="s">
        <v>643</v>
      </c>
      <c r="K45" s="313"/>
      <c r="L45" s="314"/>
    </row>
    <row r="46" spans="1:12" ht="13.5" customHeight="1">
      <c r="A46" s="145" t="s">
        <v>648</v>
      </c>
      <c r="B46" s="319" t="s">
        <v>649</v>
      </c>
      <c r="C46" s="146">
        <v>4.03</v>
      </c>
      <c r="D46" s="320" t="s">
        <v>1022</v>
      </c>
      <c r="E46" s="326">
        <f t="shared" ref="E46:F48" si="5">G46+I46+K46</f>
        <v>370</v>
      </c>
      <c r="F46" s="326">
        <f t="shared" si="5"/>
        <v>1491</v>
      </c>
      <c r="G46" s="326">
        <v>0</v>
      </c>
      <c r="H46" s="326">
        <f>INT(G46*C46)</f>
        <v>0</v>
      </c>
      <c r="I46" s="321">
        <f>자재!F247</f>
        <v>370</v>
      </c>
      <c r="J46" s="321">
        <f>INT(I46*C46)</f>
        <v>1491</v>
      </c>
      <c r="K46" s="321">
        <v>0</v>
      </c>
      <c r="L46" s="322">
        <f>INT(K46*C46)</f>
        <v>0</v>
      </c>
    </row>
    <row r="47" spans="1:12" ht="13.5" customHeight="1">
      <c r="A47" s="145" t="s">
        <v>650</v>
      </c>
      <c r="B47" s="319" t="s">
        <v>615</v>
      </c>
      <c r="C47" s="146">
        <v>6.9000000000000006E-2</v>
      </c>
      <c r="D47" s="320" t="s">
        <v>1328</v>
      </c>
      <c r="E47" s="326">
        <f t="shared" si="5"/>
        <v>172068</v>
      </c>
      <c r="F47" s="326">
        <f t="shared" si="5"/>
        <v>11872</v>
      </c>
      <c r="G47" s="326">
        <f>노임!D14</f>
        <v>172068</v>
      </c>
      <c r="H47" s="326">
        <f>INT(G47*C47)</f>
        <v>11872</v>
      </c>
      <c r="I47" s="321">
        <v>0</v>
      </c>
      <c r="J47" s="321">
        <f>INT(I47*C47)</f>
        <v>0</v>
      </c>
      <c r="K47" s="321">
        <v>0</v>
      </c>
      <c r="L47" s="322">
        <f>INT(K47*C47)</f>
        <v>0</v>
      </c>
    </row>
    <row r="48" spans="1:12" ht="13.5" customHeight="1">
      <c r="A48" s="145" t="s">
        <v>602</v>
      </c>
      <c r="B48" s="319"/>
      <c r="C48" s="146">
        <v>0</v>
      </c>
      <c r="D48" s="320" t="s">
        <v>1328</v>
      </c>
      <c r="E48" s="321">
        <f t="shared" si="5"/>
        <v>215907</v>
      </c>
      <c r="F48" s="321">
        <f t="shared" si="5"/>
        <v>0</v>
      </c>
      <c r="G48" s="321">
        <f>노임!D11</f>
        <v>215907</v>
      </c>
      <c r="H48" s="321">
        <f>INT(G48*C48)</f>
        <v>0</v>
      </c>
      <c r="I48" s="321">
        <v>0</v>
      </c>
      <c r="J48" s="321">
        <f>INT(I48*C48)</f>
        <v>0</v>
      </c>
      <c r="K48" s="321">
        <v>0</v>
      </c>
      <c r="L48" s="322">
        <f>INT(K48*C48)</f>
        <v>0</v>
      </c>
    </row>
    <row r="49" spans="1:12" ht="13.5" customHeight="1">
      <c r="A49" s="145" t="s">
        <v>617</v>
      </c>
      <c r="B49" s="319"/>
      <c r="C49" s="146"/>
      <c r="D49" s="146"/>
      <c r="E49" s="321"/>
      <c r="F49" s="321">
        <f>H49+J49+L49</f>
        <v>13363</v>
      </c>
      <c r="G49" s="321"/>
      <c r="H49" s="321">
        <f>SUM(H46:H48)</f>
        <v>11872</v>
      </c>
      <c r="I49" s="321"/>
      <c r="J49" s="321">
        <f>SUM(J46:J48)</f>
        <v>1491</v>
      </c>
      <c r="K49" s="321"/>
      <c r="L49" s="322">
        <f>SUM(L46:L48)</f>
        <v>0</v>
      </c>
    </row>
    <row r="50" spans="1:12" ht="13.5" customHeight="1">
      <c r="A50" s="209"/>
      <c r="B50" s="311"/>
      <c r="C50" s="95"/>
      <c r="D50" s="95"/>
      <c r="E50" s="312">
        <f>E45+1</f>
        <v>13</v>
      </c>
      <c r="F50" s="313" t="s">
        <v>1502</v>
      </c>
      <c r="G50" s="313"/>
      <c r="H50" s="95"/>
      <c r="I50" s="313"/>
      <c r="J50" s="313" t="s">
        <v>643</v>
      </c>
      <c r="K50" s="313"/>
      <c r="L50" s="314"/>
    </row>
    <row r="51" spans="1:12" ht="13.5" customHeight="1">
      <c r="A51" s="145" t="s">
        <v>651</v>
      </c>
      <c r="B51" s="319" t="s">
        <v>652</v>
      </c>
      <c r="C51" s="146">
        <v>12.1</v>
      </c>
      <c r="D51" s="320" t="s">
        <v>1022</v>
      </c>
      <c r="E51" s="321">
        <f t="shared" ref="E51:F53" si="6">G51+I51+K51</f>
        <v>370</v>
      </c>
      <c r="F51" s="321">
        <f t="shared" si="6"/>
        <v>4477</v>
      </c>
      <c r="G51" s="321">
        <v>0</v>
      </c>
      <c r="H51" s="321">
        <f>INT(G51*C51)</f>
        <v>0</v>
      </c>
      <c r="I51" s="321">
        <f>자재!F247</f>
        <v>370</v>
      </c>
      <c r="J51" s="321">
        <f>INT(I51*C51)</f>
        <v>4477</v>
      </c>
      <c r="K51" s="321">
        <v>0</v>
      </c>
      <c r="L51" s="322">
        <f>INT(K51*C51)</f>
        <v>0</v>
      </c>
    </row>
    <row r="52" spans="1:12" ht="13.5" customHeight="1">
      <c r="A52" s="145" t="s">
        <v>650</v>
      </c>
      <c r="B52" s="319" t="s">
        <v>615</v>
      </c>
      <c r="C52" s="146">
        <v>6.9000000000000006E-2</v>
      </c>
      <c r="D52" s="320" t="s">
        <v>1328</v>
      </c>
      <c r="E52" s="321">
        <f t="shared" si="6"/>
        <v>172068</v>
      </c>
      <c r="F52" s="321">
        <f t="shared" si="6"/>
        <v>11872</v>
      </c>
      <c r="G52" s="321">
        <f>노임!D14</f>
        <v>172068</v>
      </c>
      <c r="H52" s="321">
        <f>INT(G52*C52)</f>
        <v>11872</v>
      </c>
      <c r="I52" s="321">
        <v>0</v>
      </c>
      <c r="J52" s="321">
        <f>INT(I52*C52)</f>
        <v>0</v>
      </c>
      <c r="K52" s="321">
        <v>0</v>
      </c>
      <c r="L52" s="322">
        <f>INT(K52*C52)</f>
        <v>0</v>
      </c>
    </row>
    <row r="53" spans="1:12" ht="13.5" customHeight="1">
      <c r="A53" s="145" t="s">
        <v>653</v>
      </c>
      <c r="B53" s="319"/>
      <c r="C53" s="146">
        <v>22</v>
      </c>
      <c r="D53" s="320" t="s">
        <v>1015</v>
      </c>
      <c r="E53" s="321">
        <f t="shared" si="6"/>
        <v>9</v>
      </c>
      <c r="F53" s="321">
        <f t="shared" si="6"/>
        <v>198</v>
      </c>
      <c r="G53" s="321">
        <v>0</v>
      </c>
      <c r="H53" s="321">
        <f>INT(G53*C53)</f>
        <v>0</v>
      </c>
      <c r="I53" s="321">
        <f>자재!F14</f>
        <v>9</v>
      </c>
      <c r="J53" s="321">
        <f>INT(I53*C53)</f>
        <v>198</v>
      </c>
      <c r="K53" s="321">
        <v>0</v>
      </c>
      <c r="L53" s="322">
        <f>INT(K53*C53)</f>
        <v>0</v>
      </c>
    </row>
    <row r="54" spans="1:12" ht="13.5" customHeight="1">
      <c r="A54" s="145" t="s">
        <v>617</v>
      </c>
      <c r="B54" s="319"/>
      <c r="C54" s="146"/>
      <c r="D54" s="146"/>
      <c r="E54" s="321"/>
      <c r="F54" s="321">
        <f>H54+J54+L54</f>
        <v>16547</v>
      </c>
      <c r="G54" s="321"/>
      <c r="H54" s="321">
        <f>SUM(H51:H53)</f>
        <v>11872</v>
      </c>
      <c r="I54" s="321"/>
      <c r="J54" s="321">
        <f>SUM(J51:J53)</f>
        <v>4675</v>
      </c>
      <c r="K54" s="321"/>
      <c r="L54" s="322">
        <f>SUM(L51:L53)</f>
        <v>0</v>
      </c>
    </row>
    <row r="55" spans="1:12" ht="13.5" customHeight="1">
      <c r="A55" s="11"/>
      <c r="E55" s="324"/>
      <c r="F55" s="324"/>
      <c r="G55" s="324"/>
      <c r="H55" s="324"/>
      <c r="I55" s="324"/>
      <c r="J55" s="324"/>
      <c r="K55" s="324"/>
      <c r="L55" s="325"/>
    </row>
    <row r="56" spans="1:12" ht="13.5" customHeight="1">
      <c r="A56" s="209"/>
      <c r="B56" s="311"/>
      <c r="C56" s="95"/>
      <c r="D56" s="95"/>
      <c r="E56" s="312">
        <f>E50+1</f>
        <v>14</v>
      </c>
      <c r="F56" s="313" t="s">
        <v>1503</v>
      </c>
      <c r="G56" s="313"/>
      <c r="H56" s="95"/>
      <c r="I56" s="313"/>
      <c r="J56" s="313" t="s">
        <v>643</v>
      </c>
      <c r="K56" s="313"/>
      <c r="L56" s="314"/>
    </row>
    <row r="57" spans="1:12" ht="13.5" customHeight="1">
      <c r="A57" s="145" t="s">
        <v>654</v>
      </c>
      <c r="B57" s="319" t="s">
        <v>1504</v>
      </c>
      <c r="C57" s="146">
        <v>3.85E-2</v>
      </c>
      <c r="D57" s="320" t="s">
        <v>1014</v>
      </c>
      <c r="E57" s="321">
        <f>G57+I57+K57</f>
        <v>483803</v>
      </c>
      <c r="F57" s="321">
        <f>H57+J57+L57</f>
        <v>18626</v>
      </c>
      <c r="G57" s="321">
        <v>0</v>
      </c>
      <c r="H57" s="321">
        <f t="shared" ref="H57:H62" si="7">INT(G57*C57)</f>
        <v>0</v>
      </c>
      <c r="I57" s="321">
        <f>자재!F10</f>
        <v>483803</v>
      </c>
      <c r="J57" s="321">
        <f t="shared" ref="J57:J62" si="8">INT(I57*C57)</f>
        <v>18626</v>
      </c>
      <c r="K57" s="321">
        <v>0</v>
      </c>
      <c r="L57" s="322">
        <f t="shared" ref="L57:L62" si="9">INT(K57*C57)</f>
        <v>0</v>
      </c>
    </row>
    <row r="58" spans="1:12" ht="13.5" customHeight="1">
      <c r="A58" s="145" t="s">
        <v>655</v>
      </c>
      <c r="B58" s="319" t="s">
        <v>1505</v>
      </c>
      <c r="C58" s="146">
        <v>4.0800000000000003E-2</v>
      </c>
      <c r="D58" s="320" t="s">
        <v>1014</v>
      </c>
      <c r="E58" s="321">
        <f t="shared" ref="E58:F62" si="10">G58+I58+K58</f>
        <v>439299</v>
      </c>
      <c r="F58" s="321">
        <f t="shared" si="10"/>
        <v>17923</v>
      </c>
      <c r="G58" s="321">
        <v>0</v>
      </c>
      <c r="H58" s="321">
        <f t="shared" si="7"/>
        <v>0</v>
      </c>
      <c r="I58" s="321">
        <f>자재!F7</f>
        <v>439299</v>
      </c>
      <c r="J58" s="321">
        <f t="shared" si="8"/>
        <v>17923</v>
      </c>
      <c r="K58" s="321">
        <v>0</v>
      </c>
      <c r="L58" s="322">
        <f t="shared" si="9"/>
        <v>0</v>
      </c>
    </row>
    <row r="59" spans="1:12" ht="13.5" customHeight="1">
      <c r="A59" s="145" t="s">
        <v>656</v>
      </c>
      <c r="B59" s="319" t="s">
        <v>657</v>
      </c>
      <c r="C59" s="146">
        <v>1.03</v>
      </c>
      <c r="D59" s="320" t="s">
        <v>1016</v>
      </c>
      <c r="E59" s="321">
        <f t="shared" si="10"/>
        <v>2532</v>
      </c>
      <c r="F59" s="321">
        <f t="shared" si="10"/>
        <v>2607</v>
      </c>
      <c r="G59" s="321">
        <v>0</v>
      </c>
      <c r="H59" s="321">
        <f t="shared" si="7"/>
        <v>0</v>
      </c>
      <c r="I59" s="321">
        <f>자재!F15</f>
        <v>2532</v>
      </c>
      <c r="J59" s="321">
        <f t="shared" si="8"/>
        <v>2607</v>
      </c>
      <c r="K59" s="321">
        <v>0</v>
      </c>
      <c r="L59" s="322">
        <f t="shared" si="9"/>
        <v>0</v>
      </c>
    </row>
    <row r="60" spans="1:12" ht="13.5" customHeight="1">
      <c r="A60" s="145" t="s">
        <v>658</v>
      </c>
      <c r="B60" s="319" t="s">
        <v>659</v>
      </c>
      <c r="C60" s="146">
        <v>0.28999999999999998</v>
      </c>
      <c r="D60" s="320" t="s">
        <v>1018</v>
      </c>
      <c r="E60" s="321">
        <f t="shared" si="10"/>
        <v>946</v>
      </c>
      <c r="F60" s="321">
        <f t="shared" si="10"/>
        <v>274</v>
      </c>
      <c r="G60" s="321">
        <v>0</v>
      </c>
      <c r="H60" s="321">
        <f t="shared" si="7"/>
        <v>0</v>
      </c>
      <c r="I60" s="321">
        <f>자재!F120</f>
        <v>946</v>
      </c>
      <c r="J60" s="321">
        <f t="shared" si="8"/>
        <v>274</v>
      </c>
      <c r="K60" s="321">
        <v>0</v>
      </c>
      <c r="L60" s="322">
        <f t="shared" si="9"/>
        <v>0</v>
      </c>
    </row>
    <row r="61" spans="1:12" ht="13.5" customHeight="1">
      <c r="A61" s="145" t="s">
        <v>1268</v>
      </c>
      <c r="B61" s="319" t="s">
        <v>660</v>
      </c>
      <c r="C61" s="146">
        <v>0.25</v>
      </c>
      <c r="D61" s="320" t="s">
        <v>1018</v>
      </c>
      <c r="E61" s="321">
        <f t="shared" si="10"/>
        <v>861</v>
      </c>
      <c r="F61" s="321">
        <f t="shared" si="10"/>
        <v>215</v>
      </c>
      <c r="G61" s="321">
        <v>0</v>
      </c>
      <c r="H61" s="321">
        <f t="shared" si="7"/>
        <v>0</v>
      </c>
      <c r="I61" s="321">
        <f>자재!F182</f>
        <v>861</v>
      </c>
      <c r="J61" s="321">
        <f t="shared" si="8"/>
        <v>215</v>
      </c>
      <c r="K61" s="321">
        <v>0</v>
      </c>
      <c r="L61" s="322">
        <f t="shared" si="9"/>
        <v>0</v>
      </c>
    </row>
    <row r="62" spans="1:12" ht="13.5" customHeight="1">
      <c r="A62" s="145" t="s">
        <v>661</v>
      </c>
      <c r="B62" s="319" t="s">
        <v>662</v>
      </c>
      <c r="C62" s="146">
        <v>0.19</v>
      </c>
      <c r="D62" s="320" t="s">
        <v>636</v>
      </c>
      <c r="E62" s="321">
        <f t="shared" si="10"/>
        <v>950</v>
      </c>
      <c r="F62" s="321">
        <f t="shared" si="10"/>
        <v>180</v>
      </c>
      <c r="G62" s="321">
        <v>0</v>
      </c>
      <c r="H62" s="321">
        <f t="shared" si="7"/>
        <v>0</v>
      </c>
      <c r="I62" s="321">
        <f>자재!F20</f>
        <v>950</v>
      </c>
      <c r="J62" s="321">
        <f t="shared" si="8"/>
        <v>180</v>
      </c>
      <c r="K62" s="321">
        <v>0</v>
      </c>
      <c r="L62" s="322">
        <f t="shared" si="9"/>
        <v>0</v>
      </c>
    </row>
    <row r="63" spans="1:12" ht="13.5" customHeight="1">
      <c r="A63" s="145" t="s">
        <v>617</v>
      </c>
      <c r="B63" s="319"/>
      <c r="C63" s="146"/>
      <c r="D63" s="146"/>
      <c r="E63" s="321"/>
      <c r="F63" s="321">
        <f>H63+J63+L63</f>
        <v>39825</v>
      </c>
      <c r="G63" s="321"/>
      <c r="H63" s="321">
        <f>SUM(H57:H62)</f>
        <v>0</v>
      </c>
      <c r="I63" s="321"/>
      <c r="J63" s="321">
        <f>SUM(J57:J62)</f>
        <v>39825</v>
      </c>
      <c r="K63" s="321"/>
      <c r="L63" s="322">
        <f>SUM(L57:L62)</f>
        <v>0</v>
      </c>
    </row>
    <row r="64" spans="1:12" ht="13.5" customHeight="1">
      <c r="A64" s="209"/>
      <c r="B64" s="311"/>
      <c r="C64" s="95"/>
      <c r="D64" s="95"/>
      <c r="E64" s="312">
        <f>E56+1</f>
        <v>15</v>
      </c>
      <c r="F64" s="313" t="s">
        <v>1506</v>
      </c>
      <c r="G64" s="313"/>
      <c r="H64" s="95"/>
      <c r="I64" s="313"/>
      <c r="J64" s="313" t="s">
        <v>643</v>
      </c>
      <c r="K64" s="313"/>
      <c r="L64" s="314"/>
    </row>
    <row r="65" spans="1:12" ht="13.5" customHeight="1">
      <c r="A65" s="145" t="s">
        <v>663</v>
      </c>
      <c r="B65" s="319"/>
      <c r="C65" s="146">
        <v>0.62</v>
      </c>
      <c r="D65" s="320" t="s">
        <v>1328</v>
      </c>
      <c r="E65" s="321">
        <f t="shared" ref="E65:F70" si="11">G65+I65+K65</f>
        <v>272931</v>
      </c>
      <c r="F65" s="321">
        <f t="shared" si="11"/>
        <v>169217</v>
      </c>
      <c r="G65" s="321">
        <f>노임!B4</f>
        <v>272931</v>
      </c>
      <c r="H65" s="321">
        <f t="shared" ref="H65:H70" si="12">INT(G65*C65)</f>
        <v>169217</v>
      </c>
      <c r="I65" s="321">
        <v>0</v>
      </c>
      <c r="J65" s="321">
        <f t="shared" ref="J65:J70" si="13">INT(I65*C65)</f>
        <v>0</v>
      </c>
      <c r="K65" s="321">
        <v>0</v>
      </c>
      <c r="L65" s="322">
        <f t="shared" ref="L65:L70" si="14">INT(K65*C65)</f>
        <v>0</v>
      </c>
    </row>
    <row r="66" spans="1:12" ht="13.5" customHeight="1">
      <c r="A66" s="145" t="s">
        <v>1329</v>
      </c>
      <c r="B66" s="319"/>
      <c r="C66" s="146">
        <v>0.42</v>
      </c>
      <c r="D66" s="320" t="s">
        <v>1328</v>
      </c>
      <c r="E66" s="321">
        <f t="shared" si="11"/>
        <v>172068</v>
      </c>
      <c r="F66" s="321">
        <f t="shared" si="11"/>
        <v>72268</v>
      </c>
      <c r="G66" s="321">
        <f>노임!D14</f>
        <v>172068</v>
      </c>
      <c r="H66" s="321">
        <f t="shared" si="12"/>
        <v>72268</v>
      </c>
      <c r="I66" s="321">
        <v>0</v>
      </c>
      <c r="J66" s="321">
        <f t="shared" si="13"/>
        <v>0</v>
      </c>
      <c r="K66" s="321">
        <v>0</v>
      </c>
      <c r="L66" s="322">
        <f t="shared" si="14"/>
        <v>0</v>
      </c>
    </row>
    <row r="67" spans="1:12" ht="13.5" customHeight="1">
      <c r="A67" s="145" t="s">
        <v>617</v>
      </c>
      <c r="B67" s="319"/>
      <c r="C67" s="146"/>
      <c r="D67" s="146"/>
      <c r="E67" s="321"/>
      <c r="F67" s="321">
        <f>H67+J67+L67</f>
        <v>241485</v>
      </c>
      <c r="G67" s="321"/>
      <c r="H67" s="321">
        <f>SUM(H65:H66)</f>
        <v>241485</v>
      </c>
      <c r="I67" s="321"/>
      <c r="J67" s="321">
        <f>SUM(J65:J66)</f>
        <v>0</v>
      </c>
      <c r="K67" s="321"/>
      <c r="L67" s="322">
        <f>SUM(L65:L66)</f>
        <v>0</v>
      </c>
    </row>
    <row r="68" spans="1:12" ht="13.5" customHeight="1">
      <c r="A68" s="209"/>
      <c r="B68" s="311"/>
      <c r="C68" s="95"/>
      <c r="D68" s="95"/>
      <c r="E68" s="312">
        <f>E64+1</f>
        <v>16</v>
      </c>
      <c r="F68" s="313" t="s">
        <v>1507</v>
      </c>
      <c r="G68" s="313"/>
      <c r="H68" s="95"/>
      <c r="I68" s="313"/>
      <c r="J68" s="313" t="s">
        <v>643</v>
      </c>
      <c r="K68" s="313"/>
      <c r="L68" s="314"/>
    </row>
    <row r="69" spans="1:12" ht="13.5" customHeight="1">
      <c r="A69" s="145" t="s">
        <v>656</v>
      </c>
      <c r="B69" s="319"/>
      <c r="C69" s="146">
        <v>1.03</v>
      </c>
      <c r="D69" s="320" t="s">
        <v>1014</v>
      </c>
      <c r="E69" s="321">
        <f t="shared" si="11"/>
        <v>8193</v>
      </c>
      <c r="F69" s="321">
        <f t="shared" si="11"/>
        <v>8438</v>
      </c>
      <c r="G69" s="321">
        <v>0</v>
      </c>
      <c r="H69" s="321">
        <f t="shared" si="12"/>
        <v>0</v>
      </c>
      <c r="I69" s="321">
        <f>자재!F16</f>
        <v>8193</v>
      </c>
      <c r="J69" s="321">
        <f t="shared" si="13"/>
        <v>8438</v>
      </c>
      <c r="K69" s="321">
        <v>0</v>
      </c>
      <c r="L69" s="322">
        <f t="shared" si="14"/>
        <v>0</v>
      </c>
    </row>
    <row r="70" spans="1:12" ht="13.5" customHeight="1">
      <c r="A70" s="145" t="s">
        <v>655</v>
      </c>
      <c r="B70" s="319"/>
      <c r="C70" s="146">
        <v>3.7999999999999999E-2</v>
      </c>
      <c r="D70" s="320" t="s">
        <v>1014</v>
      </c>
      <c r="E70" s="321">
        <f t="shared" si="11"/>
        <v>439299</v>
      </c>
      <c r="F70" s="321">
        <f t="shared" si="11"/>
        <v>16693</v>
      </c>
      <c r="G70" s="321">
        <v>0</v>
      </c>
      <c r="H70" s="321">
        <f t="shared" si="12"/>
        <v>0</v>
      </c>
      <c r="I70" s="321">
        <f>자재!F7</f>
        <v>439299</v>
      </c>
      <c r="J70" s="321">
        <f t="shared" si="13"/>
        <v>16693</v>
      </c>
      <c r="K70" s="321">
        <v>0</v>
      </c>
      <c r="L70" s="322">
        <f t="shared" si="14"/>
        <v>0</v>
      </c>
    </row>
    <row r="71" spans="1:12" ht="13.5" customHeight="1">
      <c r="A71" s="145" t="s">
        <v>2324</v>
      </c>
      <c r="B71" s="319" t="s">
        <v>2325</v>
      </c>
      <c r="C71" s="146">
        <v>0.09</v>
      </c>
      <c r="D71" s="320"/>
      <c r="E71" s="321">
        <f>G71+I71+K71</f>
        <v>25131</v>
      </c>
      <c r="F71" s="321">
        <f>H71+J71+L71</f>
        <v>2261</v>
      </c>
      <c r="G71" s="321">
        <v>0</v>
      </c>
      <c r="H71" s="321">
        <f>INT(G71*C71)</f>
        <v>0</v>
      </c>
      <c r="I71" s="321">
        <f>J69+J70</f>
        <v>25131</v>
      </c>
      <c r="J71" s="321">
        <f>INT(I71*C71)</f>
        <v>2261</v>
      </c>
      <c r="K71" s="321">
        <v>0</v>
      </c>
      <c r="L71" s="322">
        <f>INT(K71*C71)</f>
        <v>0</v>
      </c>
    </row>
    <row r="72" spans="1:12" ht="13.5" customHeight="1">
      <c r="A72" s="145" t="s">
        <v>617</v>
      </c>
      <c r="B72" s="319"/>
      <c r="C72" s="146"/>
      <c r="D72" s="146"/>
      <c r="E72" s="321"/>
      <c r="F72" s="321">
        <f>H72+J72+L72</f>
        <v>27392</v>
      </c>
      <c r="G72" s="321"/>
      <c r="H72" s="321">
        <f>SUM(H69:H71)</f>
        <v>0</v>
      </c>
      <c r="I72" s="321"/>
      <c r="J72" s="321">
        <f>SUM(J69:J71)</f>
        <v>27392</v>
      </c>
      <c r="K72" s="321"/>
      <c r="L72" s="322">
        <f>SUM(L69:L71)</f>
        <v>0</v>
      </c>
    </row>
    <row r="73" spans="1:12" ht="13.5" customHeight="1">
      <c r="A73" s="209"/>
      <c r="B73" s="311"/>
      <c r="C73" s="95"/>
      <c r="D73" s="95"/>
      <c r="E73" s="312">
        <f>E68+1</f>
        <v>17</v>
      </c>
      <c r="F73" s="313" t="s">
        <v>1508</v>
      </c>
      <c r="G73" s="313"/>
      <c r="H73" s="95"/>
      <c r="I73" s="313"/>
      <c r="J73" s="313" t="s">
        <v>643</v>
      </c>
      <c r="K73" s="313"/>
      <c r="L73" s="314"/>
    </row>
    <row r="74" spans="1:12" ht="13.5" customHeight="1">
      <c r="A74" s="145" t="s">
        <v>663</v>
      </c>
      <c r="B74" s="319"/>
      <c r="C74" s="146">
        <v>0.11</v>
      </c>
      <c r="D74" s="320" t="s">
        <v>1328</v>
      </c>
      <c r="E74" s="321">
        <f>G74+I74+K74</f>
        <v>272931</v>
      </c>
      <c r="F74" s="321">
        <f>H74+J74+L74</f>
        <v>30022</v>
      </c>
      <c r="G74" s="321">
        <f>노임!B4</f>
        <v>272931</v>
      </c>
      <c r="H74" s="321">
        <f>INT(G74*C74)</f>
        <v>30022</v>
      </c>
      <c r="I74" s="321">
        <v>0</v>
      </c>
      <c r="J74" s="321">
        <f>INT(I74*C74)</f>
        <v>0</v>
      </c>
      <c r="K74" s="321">
        <v>0</v>
      </c>
      <c r="L74" s="322">
        <f>INT(K74*C74)</f>
        <v>0</v>
      </c>
    </row>
    <row r="75" spans="1:12" ht="13.5" customHeight="1">
      <c r="A75" s="145" t="s">
        <v>1329</v>
      </c>
      <c r="B75" s="319"/>
      <c r="C75" s="146">
        <v>0.03</v>
      </c>
      <c r="D75" s="320" t="s">
        <v>1328</v>
      </c>
      <c r="E75" s="321">
        <f>G75+I75+K75</f>
        <v>172068</v>
      </c>
      <c r="F75" s="321">
        <f>H75+J75+L75</f>
        <v>5162</v>
      </c>
      <c r="G75" s="321">
        <f>노임!D14</f>
        <v>172068</v>
      </c>
      <c r="H75" s="321">
        <f>INT(G75*C75)</f>
        <v>5162</v>
      </c>
      <c r="I75" s="321">
        <v>0</v>
      </c>
      <c r="J75" s="321">
        <f>INT(I75*C75)</f>
        <v>0</v>
      </c>
      <c r="K75" s="321">
        <v>0</v>
      </c>
      <c r="L75" s="322">
        <f>INT(K75*C75)</f>
        <v>0</v>
      </c>
    </row>
    <row r="76" spans="1:12" ht="13.5" customHeight="1">
      <c r="A76" s="145" t="s">
        <v>617</v>
      </c>
      <c r="B76" s="319"/>
      <c r="C76" s="146"/>
      <c r="D76" s="146"/>
      <c r="E76" s="321"/>
      <c r="F76" s="321">
        <f>H76+J76+L76</f>
        <v>35184</v>
      </c>
      <c r="G76" s="321"/>
      <c r="H76" s="321">
        <f>SUM(H74:H75)</f>
        <v>35184</v>
      </c>
      <c r="I76" s="321"/>
      <c r="J76" s="321">
        <f>SUM(J74:J75)</f>
        <v>0</v>
      </c>
      <c r="K76" s="321"/>
      <c r="L76" s="322">
        <f>SUM(L74:L75)</f>
        <v>0</v>
      </c>
    </row>
    <row r="77" spans="1:12" ht="13.5" customHeight="1">
      <c r="A77" s="209"/>
      <c r="B77" s="311"/>
      <c r="C77" s="95"/>
      <c r="D77" s="95"/>
      <c r="E77" s="312">
        <f>E72+1</f>
        <v>1</v>
      </c>
      <c r="F77" s="313" t="s">
        <v>2326</v>
      </c>
      <c r="G77" s="313"/>
      <c r="H77" s="95"/>
      <c r="I77" s="313"/>
      <c r="J77" s="313" t="s">
        <v>643</v>
      </c>
      <c r="K77" s="313"/>
      <c r="L77" s="314"/>
    </row>
    <row r="78" spans="1:12" ht="13.5" customHeight="1">
      <c r="A78" s="145" t="s">
        <v>663</v>
      </c>
      <c r="B78" s="319"/>
      <c r="C78" s="146">
        <v>0.18</v>
      </c>
      <c r="D78" s="320" t="s">
        <v>1328</v>
      </c>
      <c r="E78" s="321">
        <f>G78+I78+K78</f>
        <v>272931</v>
      </c>
      <c r="F78" s="321">
        <f>H78+J78+L78</f>
        <v>49127</v>
      </c>
      <c r="G78" s="321">
        <f>G74</f>
        <v>272931</v>
      </c>
      <c r="H78" s="321">
        <f>INT(G78*C78)</f>
        <v>49127</v>
      </c>
      <c r="I78" s="321">
        <v>0</v>
      </c>
      <c r="J78" s="321">
        <f>INT(I78*C78)</f>
        <v>0</v>
      </c>
      <c r="K78" s="321">
        <v>0</v>
      </c>
      <c r="L78" s="322">
        <f>INT(K78*C78)</f>
        <v>0</v>
      </c>
    </row>
    <row r="79" spans="1:12" ht="13.5" customHeight="1">
      <c r="A79" s="145" t="s">
        <v>1329</v>
      </c>
      <c r="B79" s="319"/>
      <c r="C79" s="146">
        <v>0.05</v>
      </c>
      <c r="D79" s="320" t="s">
        <v>1328</v>
      </c>
      <c r="E79" s="321">
        <f>G79+I79+K79</f>
        <v>172068</v>
      </c>
      <c r="F79" s="321">
        <f>H79+J79+L79</f>
        <v>8603</v>
      </c>
      <c r="G79" s="321">
        <f>G75</f>
        <v>172068</v>
      </c>
      <c r="H79" s="321">
        <f>INT(G79*C79)</f>
        <v>8603</v>
      </c>
      <c r="I79" s="321">
        <v>0</v>
      </c>
      <c r="J79" s="321">
        <f>INT(I79*C79)</f>
        <v>0</v>
      </c>
      <c r="K79" s="321">
        <v>0</v>
      </c>
      <c r="L79" s="322">
        <f>INT(K79*C79)</f>
        <v>0</v>
      </c>
    </row>
    <row r="80" spans="1:12" ht="13.5" customHeight="1">
      <c r="A80" s="145" t="s">
        <v>617</v>
      </c>
      <c r="B80" s="319"/>
      <c r="C80" s="146"/>
      <c r="D80" s="146"/>
      <c r="E80" s="321"/>
      <c r="F80" s="321">
        <f>H80+J80+L80</f>
        <v>57730</v>
      </c>
      <c r="G80" s="321"/>
      <c r="H80" s="321">
        <f>SUM(H78:H79)</f>
        <v>57730</v>
      </c>
      <c r="I80" s="321"/>
      <c r="J80" s="321">
        <f>SUM(J78:J79)</f>
        <v>0</v>
      </c>
      <c r="K80" s="321"/>
      <c r="L80" s="322">
        <f>SUM(L78:L79)</f>
        <v>0</v>
      </c>
    </row>
    <row r="81" spans="1:12" ht="13.5" customHeight="1">
      <c r="A81" s="209"/>
      <c r="B81" s="311"/>
      <c r="C81" s="95"/>
      <c r="D81" s="95"/>
      <c r="E81" s="312">
        <f>E73+1</f>
        <v>18</v>
      </c>
      <c r="F81" s="313" t="s">
        <v>1052</v>
      </c>
      <c r="G81" s="313"/>
      <c r="H81" s="95"/>
      <c r="I81" s="313"/>
      <c r="J81" s="313" t="s">
        <v>664</v>
      </c>
      <c r="K81" s="313"/>
      <c r="L81" s="314"/>
    </row>
    <row r="82" spans="1:12" ht="13.5" customHeight="1">
      <c r="A82" s="145" t="s">
        <v>654</v>
      </c>
      <c r="B82" s="319" t="s">
        <v>1509</v>
      </c>
      <c r="C82" s="146">
        <v>2.3E-3</v>
      </c>
      <c r="D82" s="320" t="s">
        <v>1016</v>
      </c>
      <c r="E82" s="321">
        <f t="shared" ref="E82:F86" si="15">G82+I82+K82</f>
        <v>483803</v>
      </c>
      <c r="F82" s="321">
        <f t="shared" si="15"/>
        <v>1112</v>
      </c>
      <c r="G82" s="321">
        <v>0</v>
      </c>
      <c r="H82" s="321">
        <f>INT(G82*C82)</f>
        <v>0</v>
      </c>
      <c r="I82" s="321">
        <f>자재!F10</f>
        <v>483803</v>
      </c>
      <c r="J82" s="321">
        <f>INT(I82*C82)</f>
        <v>1112</v>
      </c>
      <c r="K82" s="321">
        <v>0</v>
      </c>
      <c r="L82" s="322">
        <f>INT(K82*C82)</f>
        <v>0</v>
      </c>
    </row>
    <row r="83" spans="1:12" ht="13.5" customHeight="1">
      <c r="A83" s="145" t="s">
        <v>665</v>
      </c>
      <c r="B83" s="319" t="s">
        <v>666</v>
      </c>
      <c r="C83" s="146">
        <v>9.1999999999999998E-3</v>
      </c>
      <c r="D83" s="320" t="s">
        <v>1016</v>
      </c>
      <c r="E83" s="321">
        <f t="shared" si="15"/>
        <v>173652</v>
      </c>
      <c r="F83" s="321">
        <f t="shared" si="15"/>
        <v>1597</v>
      </c>
      <c r="G83" s="321">
        <v>0</v>
      </c>
      <c r="H83" s="321">
        <f>INT(G83*C83)</f>
        <v>0</v>
      </c>
      <c r="I83" s="321">
        <f>자재!F4</f>
        <v>173652</v>
      </c>
      <c r="J83" s="321">
        <f>INT(I83*C83)</f>
        <v>1597</v>
      </c>
      <c r="K83" s="321">
        <v>0</v>
      </c>
      <c r="L83" s="322">
        <f>INT(K83*C83)</f>
        <v>0</v>
      </c>
    </row>
    <row r="84" spans="1:12" ht="13.5" customHeight="1">
      <c r="A84" s="145" t="s">
        <v>1268</v>
      </c>
      <c r="B84" s="319" t="s">
        <v>660</v>
      </c>
      <c r="C84" s="146">
        <v>0.03</v>
      </c>
      <c r="D84" s="320" t="s">
        <v>1018</v>
      </c>
      <c r="E84" s="321">
        <f t="shared" si="15"/>
        <v>861</v>
      </c>
      <c r="F84" s="321">
        <f t="shared" si="15"/>
        <v>25</v>
      </c>
      <c r="G84" s="321">
        <v>0</v>
      </c>
      <c r="H84" s="321">
        <f>INT(G84*C84)</f>
        <v>0</v>
      </c>
      <c r="I84" s="321">
        <f>자재!F182</f>
        <v>861</v>
      </c>
      <c r="J84" s="321">
        <f>INT(I84*C84)</f>
        <v>25</v>
      </c>
      <c r="K84" s="321">
        <v>0</v>
      </c>
      <c r="L84" s="322">
        <f>INT(K84*C84)</f>
        <v>0</v>
      </c>
    </row>
    <row r="85" spans="1:12" ht="13.5" customHeight="1">
      <c r="A85" s="145" t="s">
        <v>667</v>
      </c>
      <c r="B85" s="319"/>
      <c r="C85" s="146">
        <v>0.2</v>
      </c>
      <c r="D85" s="320" t="s">
        <v>1328</v>
      </c>
      <c r="E85" s="321">
        <f t="shared" si="15"/>
        <v>272931</v>
      </c>
      <c r="F85" s="321">
        <f t="shared" si="15"/>
        <v>54586</v>
      </c>
      <c r="G85" s="321">
        <f>노임!B4</f>
        <v>272931</v>
      </c>
      <c r="H85" s="321">
        <f>INT(G85*C85)</f>
        <v>54586</v>
      </c>
      <c r="I85" s="321">
        <v>0</v>
      </c>
      <c r="J85" s="321">
        <f>INT(I85*C85)</f>
        <v>0</v>
      </c>
      <c r="K85" s="321">
        <v>0</v>
      </c>
      <c r="L85" s="322">
        <f>INT(K85*C85)</f>
        <v>0</v>
      </c>
    </row>
    <row r="86" spans="1:12" ht="13.5" customHeight="1">
      <c r="A86" s="145" t="s">
        <v>1329</v>
      </c>
      <c r="B86" s="319"/>
      <c r="C86" s="146">
        <v>0.2</v>
      </c>
      <c r="D86" s="320" t="s">
        <v>1328</v>
      </c>
      <c r="E86" s="321">
        <f t="shared" si="15"/>
        <v>172068</v>
      </c>
      <c r="F86" s="321">
        <f t="shared" si="15"/>
        <v>34413</v>
      </c>
      <c r="G86" s="321">
        <f>노임!D14</f>
        <v>172068</v>
      </c>
      <c r="H86" s="321">
        <f>INT(G86*C86)</f>
        <v>34413</v>
      </c>
      <c r="I86" s="321">
        <v>0</v>
      </c>
      <c r="J86" s="321">
        <f>INT(I86*C86)</f>
        <v>0</v>
      </c>
      <c r="K86" s="321">
        <v>0</v>
      </c>
      <c r="L86" s="322">
        <f>INT(K86*C86)</f>
        <v>0</v>
      </c>
    </row>
    <row r="87" spans="1:12" ht="13.5" customHeight="1">
      <c r="A87" s="145" t="s">
        <v>617</v>
      </c>
      <c r="B87" s="319"/>
      <c r="C87" s="146"/>
      <c r="D87" s="146"/>
      <c r="E87" s="321"/>
      <c r="F87" s="321">
        <f>H87+J87+L87</f>
        <v>91733</v>
      </c>
      <c r="G87" s="321"/>
      <c r="H87" s="321">
        <f>SUM(H82:H86)</f>
        <v>88999</v>
      </c>
      <c r="I87" s="321"/>
      <c r="J87" s="321">
        <f>SUM(J82:J86)</f>
        <v>2734</v>
      </c>
      <c r="K87" s="321"/>
      <c r="L87" s="322">
        <f>SUM(L82:L86)</f>
        <v>0</v>
      </c>
    </row>
    <row r="88" spans="1:12" ht="13.5" customHeight="1">
      <c r="A88" s="154"/>
      <c r="B88" s="327"/>
      <c r="C88" s="158"/>
      <c r="D88" s="158"/>
      <c r="E88" s="328"/>
      <c r="F88" s="328"/>
      <c r="G88" s="328"/>
      <c r="H88" s="328"/>
      <c r="I88" s="328"/>
      <c r="J88" s="328"/>
      <c r="K88" s="328"/>
      <c r="L88" s="329"/>
    </row>
    <row r="89" spans="1:12" ht="13.5" customHeight="1">
      <c r="A89" s="209"/>
      <c r="B89" s="311"/>
      <c r="C89" s="95"/>
      <c r="D89" s="95"/>
      <c r="E89" s="312">
        <f>E81+1</f>
        <v>19</v>
      </c>
      <c r="F89" s="313" t="s">
        <v>1510</v>
      </c>
      <c r="G89" s="313"/>
      <c r="H89" s="95"/>
      <c r="I89" s="313"/>
      <c r="J89" s="313" t="s">
        <v>664</v>
      </c>
      <c r="K89" s="313"/>
      <c r="L89" s="314"/>
    </row>
    <row r="90" spans="1:12" ht="13.5" customHeight="1">
      <c r="A90" s="145" t="s">
        <v>668</v>
      </c>
      <c r="B90" s="319" t="s">
        <v>669</v>
      </c>
      <c r="C90" s="146">
        <v>1.0999999999999999E-2</v>
      </c>
      <c r="D90" s="320" t="s">
        <v>1016</v>
      </c>
      <c r="E90" s="321">
        <f>G90+I90+K90</f>
        <v>439299</v>
      </c>
      <c r="F90" s="321">
        <f>H90+J90+L90</f>
        <v>4832</v>
      </c>
      <c r="G90" s="321">
        <v>0</v>
      </c>
      <c r="H90" s="321">
        <f>INT(G90*C90)</f>
        <v>0</v>
      </c>
      <c r="I90" s="321">
        <f>자재!F7</f>
        <v>439299</v>
      </c>
      <c r="J90" s="321">
        <f>INT(I90*C90)</f>
        <v>4832</v>
      </c>
      <c r="K90" s="321">
        <v>0</v>
      </c>
      <c r="L90" s="322">
        <f>INT(K90*C90)</f>
        <v>0</v>
      </c>
    </row>
    <row r="91" spans="1:12" ht="13.5" customHeight="1">
      <c r="A91" s="145" t="s">
        <v>1268</v>
      </c>
      <c r="B91" s="319" t="s">
        <v>660</v>
      </c>
      <c r="C91" s="146">
        <v>0.03</v>
      </c>
      <c r="D91" s="320" t="s">
        <v>1018</v>
      </c>
      <c r="E91" s="321">
        <f t="shared" ref="E91:F93" si="16">G91+I91+K91</f>
        <v>861</v>
      </c>
      <c r="F91" s="321">
        <f t="shared" si="16"/>
        <v>25</v>
      </c>
      <c r="G91" s="321">
        <v>0</v>
      </c>
      <c r="H91" s="321">
        <f>INT(G91*C91)</f>
        <v>0</v>
      </c>
      <c r="I91" s="321">
        <f>자재!F182</f>
        <v>861</v>
      </c>
      <c r="J91" s="321">
        <f>INT(I91*C91)</f>
        <v>25</v>
      </c>
      <c r="K91" s="321">
        <v>0</v>
      </c>
      <c r="L91" s="322">
        <f>INT(K91*C91)</f>
        <v>0</v>
      </c>
    </row>
    <row r="92" spans="1:12" ht="13.5" customHeight="1">
      <c r="A92" s="145" t="s">
        <v>667</v>
      </c>
      <c r="B92" s="319"/>
      <c r="C92" s="146">
        <v>0.15</v>
      </c>
      <c r="D92" s="320" t="s">
        <v>1328</v>
      </c>
      <c r="E92" s="321">
        <f t="shared" si="16"/>
        <v>272931</v>
      </c>
      <c r="F92" s="321">
        <f t="shared" si="16"/>
        <v>40939</v>
      </c>
      <c r="G92" s="321">
        <f>노임!B4</f>
        <v>272931</v>
      </c>
      <c r="H92" s="321">
        <f>INT(G92*C92)</f>
        <v>40939</v>
      </c>
      <c r="I92" s="321">
        <v>0</v>
      </c>
      <c r="J92" s="321">
        <f>INT(I92*C92)</f>
        <v>0</v>
      </c>
      <c r="K92" s="321">
        <v>0</v>
      </c>
      <c r="L92" s="322">
        <f>INT(K92*C92)</f>
        <v>0</v>
      </c>
    </row>
    <row r="93" spans="1:12" ht="13.5" customHeight="1">
      <c r="A93" s="145" t="s">
        <v>1329</v>
      </c>
      <c r="B93" s="319"/>
      <c r="C93" s="146">
        <v>0.3</v>
      </c>
      <c r="D93" s="320" t="s">
        <v>1328</v>
      </c>
      <c r="E93" s="321">
        <f t="shared" si="16"/>
        <v>172068</v>
      </c>
      <c r="F93" s="321">
        <f t="shared" si="16"/>
        <v>51620</v>
      </c>
      <c r="G93" s="321">
        <f>노임!D14</f>
        <v>172068</v>
      </c>
      <c r="H93" s="321">
        <f>INT(G93*C93)</f>
        <v>51620</v>
      </c>
      <c r="I93" s="321">
        <v>0</v>
      </c>
      <c r="J93" s="321">
        <f>INT(I93*C93)</f>
        <v>0</v>
      </c>
      <c r="K93" s="321">
        <v>0</v>
      </c>
      <c r="L93" s="322">
        <f>INT(K93*C93)</f>
        <v>0</v>
      </c>
    </row>
    <row r="94" spans="1:12" ht="13.5" customHeight="1">
      <c r="A94" s="145" t="s">
        <v>617</v>
      </c>
      <c r="B94" s="319"/>
      <c r="C94" s="146"/>
      <c r="D94" s="146"/>
      <c r="E94" s="321"/>
      <c r="F94" s="321">
        <f>H94+J94+L94</f>
        <v>97416</v>
      </c>
      <c r="G94" s="321"/>
      <c r="H94" s="321">
        <f>SUM(H90:H93)</f>
        <v>92559</v>
      </c>
      <c r="I94" s="321"/>
      <c r="J94" s="321">
        <f>SUM(J90:J93)</f>
        <v>4857</v>
      </c>
      <c r="K94" s="321"/>
      <c r="L94" s="322">
        <f>SUM(L90:L93)</f>
        <v>0</v>
      </c>
    </row>
    <row r="95" spans="1:12" ht="13.5" customHeight="1">
      <c r="A95" s="209"/>
      <c r="B95" s="311"/>
      <c r="C95" s="95"/>
      <c r="D95" s="95"/>
      <c r="E95" s="312">
        <f>E89+1</f>
        <v>20</v>
      </c>
      <c r="F95" s="313" t="s">
        <v>1274</v>
      </c>
      <c r="G95" s="313"/>
      <c r="H95" s="95"/>
      <c r="I95" s="313"/>
      <c r="J95" s="313" t="s">
        <v>664</v>
      </c>
      <c r="K95" s="313"/>
      <c r="L95" s="314"/>
    </row>
    <row r="96" spans="1:12" ht="13.5" customHeight="1">
      <c r="A96" s="145" t="s">
        <v>668</v>
      </c>
      <c r="B96" s="319" t="s">
        <v>670</v>
      </c>
      <c r="C96" s="146">
        <v>1.7000000000000001E-2</v>
      </c>
      <c r="D96" s="320" t="s">
        <v>1016</v>
      </c>
      <c r="E96" s="321">
        <f t="shared" ref="E96:F99" si="17">G96+I96+K96</f>
        <v>439299</v>
      </c>
      <c r="F96" s="321">
        <f t="shared" si="17"/>
        <v>7468</v>
      </c>
      <c r="G96" s="321">
        <v>0</v>
      </c>
      <c r="H96" s="321">
        <f>INT(G96*C96)</f>
        <v>0</v>
      </c>
      <c r="I96" s="321">
        <f>자재!F7</f>
        <v>439299</v>
      </c>
      <c r="J96" s="321">
        <f>INT(I96*C96)</f>
        <v>7468</v>
      </c>
      <c r="K96" s="321">
        <v>0</v>
      </c>
      <c r="L96" s="322">
        <f>INT(K96*C96)</f>
        <v>0</v>
      </c>
    </row>
    <row r="97" spans="1:12" ht="13.5" customHeight="1">
      <c r="A97" s="145" t="s">
        <v>1268</v>
      </c>
      <c r="B97" s="319" t="s">
        <v>660</v>
      </c>
      <c r="C97" s="146">
        <v>0.06</v>
      </c>
      <c r="D97" s="320" t="s">
        <v>1018</v>
      </c>
      <c r="E97" s="321">
        <f t="shared" si="17"/>
        <v>861</v>
      </c>
      <c r="F97" s="321">
        <f t="shared" si="17"/>
        <v>51</v>
      </c>
      <c r="G97" s="321">
        <v>0</v>
      </c>
      <c r="H97" s="321">
        <f>INT(G97*C97)</f>
        <v>0</v>
      </c>
      <c r="I97" s="321">
        <f>자재!F182</f>
        <v>861</v>
      </c>
      <c r="J97" s="321">
        <f>INT(I97*C97)</f>
        <v>51</v>
      </c>
      <c r="K97" s="321">
        <v>0</v>
      </c>
      <c r="L97" s="322">
        <f>INT(K97*C97)</f>
        <v>0</v>
      </c>
    </row>
    <row r="98" spans="1:12" ht="13.5" customHeight="1">
      <c r="A98" s="145" t="s">
        <v>667</v>
      </c>
      <c r="B98" s="319"/>
      <c r="C98" s="146">
        <v>0.3</v>
      </c>
      <c r="D98" s="320" t="s">
        <v>1328</v>
      </c>
      <c r="E98" s="321">
        <f t="shared" si="17"/>
        <v>272931</v>
      </c>
      <c r="F98" s="321">
        <f t="shared" si="17"/>
        <v>81879</v>
      </c>
      <c r="G98" s="321">
        <f>노임!B4</f>
        <v>272931</v>
      </c>
      <c r="H98" s="321">
        <f>INT(G98*C98)</f>
        <v>81879</v>
      </c>
      <c r="I98" s="321">
        <v>0</v>
      </c>
      <c r="J98" s="321">
        <f>INT(I98*C98)</f>
        <v>0</v>
      </c>
      <c r="K98" s="321">
        <v>0</v>
      </c>
      <c r="L98" s="322">
        <f>INT(K98*C98)</f>
        <v>0</v>
      </c>
    </row>
    <row r="99" spans="1:12" ht="13.5" customHeight="1">
      <c r="A99" s="145" t="s">
        <v>1329</v>
      </c>
      <c r="B99" s="319"/>
      <c r="C99" s="146">
        <v>0.45</v>
      </c>
      <c r="D99" s="320" t="s">
        <v>1328</v>
      </c>
      <c r="E99" s="321">
        <f t="shared" si="17"/>
        <v>172068</v>
      </c>
      <c r="F99" s="321">
        <f t="shared" si="17"/>
        <v>77430</v>
      </c>
      <c r="G99" s="321">
        <f>노임!D14</f>
        <v>172068</v>
      </c>
      <c r="H99" s="321">
        <f>INT(G99*C99)</f>
        <v>77430</v>
      </c>
      <c r="I99" s="321">
        <v>0</v>
      </c>
      <c r="J99" s="321">
        <f>INT(I99*C99)</f>
        <v>0</v>
      </c>
      <c r="K99" s="321">
        <v>0</v>
      </c>
      <c r="L99" s="322">
        <f>INT(K99*C99)</f>
        <v>0</v>
      </c>
    </row>
    <row r="100" spans="1:12" ht="13.5" customHeight="1">
      <c r="A100" s="145" t="s">
        <v>617</v>
      </c>
      <c r="B100" s="319"/>
      <c r="C100" s="146"/>
      <c r="D100" s="146"/>
      <c r="E100" s="321"/>
      <c r="F100" s="321">
        <f>H100+J100+L100</f>
        <v>166828</v>
      </c>
      <c r="G100" s="321"/>
      <c r="H100" s="321">
        <f>SUM(H96:H99)</f>
        <v>159309</v>
      </c>
      <c r="I100" s="321"/>
      <c r="J100" s="321">
        <f>SUM(J96:J99)</f>
        <v>7519</v>
      </c>
      <c r="K100" s="321"/>
      <c r="L100" s="322">
        <f>SUM(L96:L99)</f>
        <v>0</v>
      </c>
    </row>
    <row r="101" spans="1:12" ht="13.5" customHeight="1">
      <c r="A101" s="209"/>
      <c r="B101" s="311"/>
      <c r="C101" s="95"/>
      <c r="D101" s="95"/>
      <c r="E101" s="312">
        <f>E95+1</f>
        <v>21</v>
      </c>
      <c r="F101" s="313" t="s">
        <v>1511</v>
      </c>
      <c r="G101" s="313"/>
      <c r="H101" s="95"/>
      <c r="I101" s="313"/>
      <c r="J101" s="313" t="s">
        <v>643</v>
      </c>
      <c r="K101" s="313"/>
      <c r="L101" s="314"/>
    </row>
    <row r="102" spans="1:12" ht="13.5" customHeight="1">
      <c r="A102" s="145" t="s">
        <v>639</v>
      </c>
      <c r="B102" s="319" t="s">
        <v>188</v>
      </c>
      <c r="C102" s="146">
        <v>0.44</v>
      </c>
      <c r="D102" s="320" t="s">
        <v>1019</v>
      </c>
      <c r="E102" s="321">
        <f t="shared" ref="E102:F113" si="18">G102+I102+K102</f>
        <v>3060</v>
      </c>
      <c r="F102" s="321">
        <f t="shared" si="18"/>
        <v>1346</v>
      </c>
      <c r="G102" s="321">
        <v>0</v>
      </c>
      <c r="H102" s="321">
        <f t="shared" ref="H102:H113" si="19">INT(G102*C102)</f>
        <v>0</v>
      </c>
      <c r="I102" s="326">
        <f>자재!F164</f>
        <v>3060</v>
      </c>
      <c r="J102" s="321">
        <f t="shared" ref="J102:J112" si="20">INT(I102*C102)</f>
        <v>1346</v>
      </c>
      <c r="K102" s="321">
        <v>0</v>
      </c>
      <c r="L102" s="322">
        <f t="shared" ref="L102:L113" si="21">INT(K102*C102)</f>
        <v>0</v>
      </c>
    </row>
    <row r="103" spans="1:12" ht="13.5" customHeight="1">
      <c r="A103" s="145" t="s">
        <v>189</v>
      </c>
      <c r="B103" s="319" t="s">
        <v>188</v>
      </c>
      <c r="C103" s="146">
        <v>0.44</v>
      </c>
      <c r="D103" s="320" t="s">
        <v>1019</v>
      </c>
      <c r="E103" s="321">
        <f t="shared" si="18"/>
        <v>2550</v>
      </c>
      <c r="F103" s="321">
        <f t="shared" si="18"/>
        <v>1122</v>
      </c>
      <c r="G103" s="321">
        <v>0</v>
      </c>
      <c r="H103" s="321">
        <f t="shared" si="19"/>
        <v>0</v>
      </c>
      <c r="I103" s="326">
        <f>자재!F165</f>
        <v>2550</v>
      </c>
      <c r="J103" s="321">
        <f t="shared" si="20"/>
        <v>1122</v>
      </c>
      <c r="K103" s="321">
        <v>0</v>
      </c>
      <c r="L103" s="322">
        <f t="shared" si="21"/>
        <v>0</v>
      </c>
    </row>
    <row r="104" spans="1:12" ht="13.5" customHeight="1">
      <c r="A104" s="145" t="s">
        <v>190</v>
      </c>
      <c r="B104" s="319" t="s">
        <v>191</v>
      </c>
      <c r="C104" s="146">
        <v>0.2</v>
      </c>
      <c r="D104" s="320" t="s">
        <v>1022</v>
      </c>
      <c r="E104" s="321">
        <f t="shared" si="18"/>
        <v>39600</v>
      </c>
      <c r="F104" s="321">
        <f t="shared" si="18"/>
        <v>7920</v>
      </c>
      <c r="G104" s="321">
        <v>0</v>
      </c>
      <c r="H104" s="321">
        <f t="shared" si="19"/>
        <v>0</v>
      </c>
      <c r="I104" s="321">
        <f>자재!F166</f>
        <v>39600</v>
      </c>
      <c r="J104" s="321">
        <f t="shared" si="20"/>
        <v>7920</v>
      </c>
      <c r="K104" s="321">
        <v>0</v>
      </c>
      <c r="L104" s="322">
        <f t="shared" si="21"/>
        <v>0</v>
      </c>
    </row>
    <row r="105" spans="1:12" ht="13.5" customHeight="1">
      <c r="A105" s="145" t="s">
        <v>192</v>
      </c>
      <c r="B105" s="319" t="s">
        <v>191</v>
      </c>
      <c r="C105" s="146">
        <v>0.12</v>
      </c>
      <c r="D105" s="320" t="s">
        <v>1022</v>
      </c>
      <c r="E105" s="321">
        <f t="shared" si="18"/>
        <v>67830</v>
      </c>
      <c r="F105" s="321">
        <f t="shared" si="18"/>
        <v>8139</v>
      </c>
      <c r="G105" s="321">
        <v>0</v>
      </c>
      <c r="H105" s="321">
        <f t="shared" si="19"/>
        <v>0</v>
      </c>
      <c r="I105" s="321">
        <f>자재!F167</f>
        <v>67830</v>
      </c>
      <c r="J105" s="321">
        <f t="shared" si="20"/>
        <v>8139</v>
      </c>
      <c r="K105" s="321">
        <v>0</v>
      </c>
      <c r="L105" s="322">
        <f t="shared" si="21"/>
        <v>0</v>
      </c>
    </row>
    <row r="106" spans="1:12" ht="13.5" customHeight="1">
      <c r="A106" s="145" t="s">
        <v>1198</v>
      </c>
      <c r="B106" s="319" t="s">
        <v>191</v>
      </c>
      <c r="C106" s="146">
        <v>0.03</v>
      </c>
      <c r="D106" s="320" t="s">
        <v>1022</v>
      </c>
      <c r="E106" s="321">
        <f t="shared" si="18"/>
        <v>109800</v>
      </c>
      <c r="F106" s="321">
        <f t="shared" si="18"/>
        <v>3294</v>
      </c>
      <c r="G106" s="321">
        <v>0</v>
      </c>
      <c r="H106" s="321">
        <f t="shared" si="19"/>
        <v>0</v>
      </c>
      <c r="I106" s="321">
        <f>자재!F168</f>
        <v>109800</v>
      </c>
      <c r="J106" s="321">
        <f t="shared" si="20"/>
        <v>3294</v>
      </c>
      <c r="K106" s="321">
        <v>0</v>
      </c>
      <c r="L106" s="322">
        <f t="shared" si="21"/>
        <v>0</v>
      </c>
    </row>
    <row r="107" spans="1:12" ht="13.5" customHeight="1">
      <c r="A107" s="145" t="s">
        <v>1512</v>
      </c>
      <c r="B107" s="319" t="s">
        <v>191</v>
      </c>
      <c r="C107" s="146">
        <v>0.15</v>
      </c>
      <c r="D107" s="320" t="s">
        <v>1022</v>
      </c>
      <c r="E107" s="321">
        <f t="shared" si="18"/>
        <v>35150</v>
      </c>
      <c r="F107" s="321">
        <f t="shared" si="18"/>
        <v>5272</v>
      </c>
      <c r="G107" s="321">
        <v>0</v>
      </c>
      <c r="H107" s="321">
        <f t="shared" si="19"/>
        <v>0</v>
      </c>
      <c r="I107" s="326">
        <f>자재!F169</f>
        <v>35150</v>
      </c>
      <c r="J107" s="321">
        <f t="shared" si="20"/>
        <v>5272</v>
      </c>
      <c r="K107" s="321">
        <v>0</v>
      </c>
      <c r="L107" s="322">
        <f t="shared" si="21"/>
        <v>0</v>
      </c>
    </row>
    <row r="108" spans="1:12" ht="13.5" customHeight="1">
      <c r="A108" s="145" t="s">
        <v>1513</v>
      </c>
      <c r="B108" s="319" t="s">
        <v>191</v>
      </c>
      <c r="C108" s="146">
        <v>0.05</v>
      </c>
      <c r="D108" s="320" t="s">
        <v>1022</v>
      </c>
      <c r="E108" s="321">
        <f t="shared" si="18"/>
        <v>72960</v>
      </c>
      <c r="F108" s="321">
        <f t="shared" si="18"/>
        <v>3648</v>
      </c>
      <c r="G108" s="321">
        <v>0</v>
      </c>
      <c r="H108" s="321">
        <f t="shared" si="19"/>
        <v>0</v>
      </c>
      <c r="I108" s="326">
        <f>자재!F13</f>
        <v>72960</v>
      </c>
      <c r="J108" s="321">
        <f t="shared" si="20"/>
        <v>3648</v>
      </c>
      <c r="K108" s="321">
        <v>0</v>
      </c>
      <c r="L108" s="322">
        <f t="shared" si="21"/>
        <v>0</v>
      </c>
    </row>
    <row r="109" spans="1:12" ht="13.5" customHeight="1">
      <c r="A109" s="145" t="s">
        <v>1199</v>
      </c>
      <c r="B109" s="319"/>
      <c r="C109" s="146">
        <v>0.31</v>
      </c>
      <c r="D109" s="320" t="s">
        <v>1321</v>
      </c>
      <c r="E109" s="321">
        <f t="shared" si="18"/>
        <v>6000</v>
      </c>
      <c r="F109" s="321">
        <f t="shared" si="18"/>
        <v>1860</v>
      </c>
      <c r="G109" s="321">
        <v>0</v>
      </c>
      <c r="H109" s="321">
        <f t="shared" si="19"/>
        <v>0</v>
      </c>
      <c r="I109" s="321">
        <f>자재!F170</f>
        <v>6000</v>
      </c>
      <c r="J109" s="321">
        <f t="shared" si="20"/>
        <v>1860</v>
      </c>
      <c r="K109" s="321">
        <v>0</v>
      </c>
      <c r="L109" s="322">
        <f t="shared" si="21"/>
        <v>0</v>
      </c>
    </row>
    <row r="110" spans="1:12" ht="13.5" customHeight="1">
      <c r="A110" s="145" t="s">
        <v>1200</v>
      </c>
      <c r="B110" s="319" t="s">
        <v>1201</v>
      </c>
      <c r="C110" s="146">
        <v>0.03</v>
      </c>
      <c r="D110" s="320" t="s">
        <v>1022</v>
      </c>
      <c r="E110" s="321">
        <f t="shared" si="18"/>
        <v>15200</v>
      </c>
      <c r="F110" s="321">
        <f t="shared" si="18"/>
        <v>456</v>
      </c>
      <c r="G110" s="321">
        <v>0</v>
      </c>
      <c r="H110" s="321">
        <f t="shared" si="19"/>
        <v>0</v>
      </c>
      <c r="I110" s="321">
        <f>자재!F171</f>
        <v>15200</v>
      </c>
      <c r="J110" s="321">
        <f t="shared" si="20"/>
        <v>456</v>
      </c>
      <c r="K110" s="321">
        <v>0</v>
      </c>
      <c r="L110" s="322">
        <f t="shared" si="21"/>
        <v>0</v>
      </c>
    </row>
    <row r="111" spans="1:12" ht="13.5" customHeight="1">
      <c r="A111" s="145" t="s">
        <v>1202</v>
      </c>
      <c r="B111" s="319"/>
      <c r="C111" s="146">
        <v>0.02</v>
      </c>
      <c r="D111" s="320" t="s">
        <v>1022</v>
      </c>
      <c r="E111" s="321">
        <f t="shared" si="18"/>
        <v>8495</v>
      </c>
      <c r="F111" s="321">
        <f t="shared" si="18"/>
        <v>169</v>
      </c>
      <c r="G111" s="321">
        <v>0</v>
      </c>
      <c r="H111" s="321">
        <f t="shared" si="19"/>
        <v>0</v>
      </c>
      <c r="I111" s="326">
        <f>자재!F172</f>
        <v>8495</v>
      </c>
      <c r="J111" s="321">
        <f t="shared" si="20"/>
        <v>169</v>
      </c>
      <c r="K111" s="321">
        <v>0</v>
      </c>
      <c r="L111" s="322">
        <f t="shared" si="21"/>
        <v>0</v>
      </c>
    </row>
    <row r="112" spans="1:12" ht="13.5" customHeight="1">
      <c r="A112" s="145" t="s">
        <v>1203</v>
      </c>
      <c r="B112" s="319" t="s">
        <v>1204</v>
      </c>
      <c r="C112" s="146">
        <v>1.23</v>
      </c>
      <c r="D112" s="320" t="s">
        <v>1016</v>
      </c>
      <c r="E112" s="321">
        <f t="shared" si="18"/>
        <v>7140</v>
      </c>
      <c r="F112" s="321">
        <f t="shared" si="18"/>
        <v>8782</v>
      </c>
      <c r="G112" s="321">
        <v>0</v>
      </c>
      <c r="H112" s="321">
        <f t="shared" si="19"/>
        <v>0</v>
      </c>
      <c r="I112" s="326">
        <f>자재!F173</f>
        <v>7140</v>
      </c>
      <c r="J112" s="321">
        <f t="shared" si="20"/>
        <v>8782</v>
      </c>
      <c r="K112" s="321">
        <v>0</v>
      </c>
      <c r="L112" s="322">
        <f t="shared" si="21"/>
        <v>0</v>
      </c>
    </row>
    <row r="113" spans="1:12" ht="13.5" customHeight="1">
      <c r="A113" s="145" t="s">
        <v>1205</v>
      </c>
      <c r="B113" s="319" t="s">
        <v>1206</v>
      </c>
      <c r="C113" s="146">
        <v>7.0000000000000007E-2</v>
      </c>
      <c r="D113" s="320" t="s">
        <v>1017</v>
      </c>
      <c r="E113" s="321">
        <f t="shared" si="18"/>
        <v>55000</v>
      </c>
      <c r="F113" s="321">
        <f t="shared" si="18"/>
        <v>3850</v>
      </c>
      <c r="G113" s="321">
        <v>0</v>
      </c>
      <c r="H113" s="321">
        <f t="shared" si="19"/>
        <v>0</v>
      </c>
      <c r="I113" s="326">
        <f>자재!F174</f>
        <v>55000</v>
      </c>
      <c r="J113" s="321">
        <f>INT(I113*C113)</f>
        <v>3850</v>
      </c>
      <c r="K113" s="321">
        <v>0</v>
      </c>
      <c r="L113" s="322">
        <f t="shared" si="21"/>
        <v>0</v>
      </c>
    </row>
    <row r="114" spans="1:12" ht="13.5" customHeight="1">
      <c r="A114" s="145" t="s">
        <v>1207</v>
      </c>
      <c r="B114" s="319" t="s">
        <v>188</v>
      </c>
      <c r="C114" s="146">
        <v>1.52</v>
      </c>
      <c r="D114" s="320" t="s">
        <v>1017</v>
      </c>
      <c r="E114" s="321">
        <f t="shared" ref="E114:F116" si="22">G114+I114+K114</f>
        <v>1800</v>
      </c>
      <c r="F114" s="321">
        <f t="shared" si="22"/>
        <v>2736</v>
      </c>
      <c r="G114" s="321">
        <v>0</v>
      </c>
      <c r="H114" s="321">
        <f>INT(G114*C114)</f>
        <v>0</v>
      </c>
      <c r="I114" s="321">
        <f>자재!F175</f>
        <v>1800</v>
      </c>
      <c r="J114" s="321">
        <f>INT(I114*C114)</f>
        <v>2736</v>
      </c>
      <c r="K114" s="321">
        <v>0</v>
      </c>
      <c r="L114" s="322">
        <f>INT(K114*C114)</f>
        <v>0</v>
      </c>
    </row>
    <row r="115" spans="1:12" ht="13.5" customHeight="1">
      <c r="A115" s="145" t="s">
        <v>1208</v>
      </c>
      <c r="B115" s="319" t="s">
        <v>1209</v>
      </c>
      <c r="C115" s="146">
        <v>0.69</v>
      </c>
      <c r="D115" s="320" t="s">
        <v>1022</v>
      </c>
      <c r="E115" s="321">
        <f t="shared" si="22"/>
        <v>10800</v>
      </c>
      <c r="F115" s="321">
        <f t="shared" si="22"/>
        <v>7452</v>
      </c>
      <c r="G115" s="321">
        <v>0</v>
      </c>
      <c r="H115" s="321">
        <f>INT(G115*C115)</f>
        <v>0</v>
      </c>
      <c r="I115" s="321">
        <f>자재!F17</f>
        <v>10800</v>
      </c>
      <c r="J115" s="321">
        <f>INT(I115*C115)</f>
        <v>7452</v>
      </c>
      <c r="K115" s="321">
        <v>0</v>
      </c>
      <c r="L115" s="322">
        <f>INT(K115*C115)</f>
        <v>0</v>
      </c>
    </row>
    <row r="116" spans="1:12" ht="13.5" customHeight="1">
      <c r="A116" s="145" t="s">
        <v>1210</v>
      </c>
      <c r="B116" s="319"/>
      <c r="C116" s="146">
        <v>1.53</v>
      </c>
      <c r="D116" s="320" t="s">
        <v>1019</v>
      </c>
      <c r="E116" s="321">
        <f t="shared" si="22"/>
        <v>1270</v>
      </c>
      <c r="F116" s="321">
        <f t="shared" si="22"/>
        <v>1943</v>
      </c>
      <c r="G116" s="321">
        <v>0</v>
      </c>
      <c r="H116" s="321">
        <f>INT(G116*C116)</f>
        <v>0</v>
      </c>
      <c r="I116" s="321">
        <f>자재!F176</f>
        <v>1270</v>
      </c>
      <c r="J116" s="321">
        <f>INT(I116*C116)</f>
        <v>1943</v>
      </c>
      <c r="K116" s="321">
        <v>0</v>
      </c>
      <c r="L116" s="322">
        <f>INT(K116*C116)</f>
        <v>0</v>
      </c>
    </row>
    <row r="117" spans="1:12" ht="13.5" customHeight="1">
      <c r="A117" s="145" t="s">
        <v>617</v>
      </c>
      <c r="B117" s="319"/>
      <c r="C117" s="146"/>
      <c r="D117" s="146"/>
      <c r="E117" s="321"/>
      <c r="F117" s="321">
        <f>H117+J117+L117</f>
        <v>57989</v>
      </c>
      <c r="G117" s="321"/>
      <c r="H117" s="321">
        <f>SUM(H102:H116)</f>
        <v>0</v>
      </c>
      <c r="I117" s="321"/>
      <c r="J117" s="321">
        <f>SUM(J102:J116)</f>
        <v>57989</v>
      </c>
      <c r="K117" s="321"/>
      <c r="L117" s="322">
        <f>SUM(L102:L116)</f>
        <v>0</v>
      </c>
    </row>
    <row r="118" spans="1:12" ht="13.5" customHeight="1">
      <c r="A118" s="154"/>
      <c r="B118" s="327"/>
      <c r="C118" s="158"/>
      <c r="D118" s="158"/>
      <c r="E118" s="328"/>
      <c r="F118" s="328"/>
      <c r="G118" s="328"/>
      <c r="H118" s="328"/>
      <c r="I118" s="328"/>
      <c r="J118" s="328"/>
      <c r="K118" s="328"/>
      <c r="L118" s="329"/>
    </row>
    <row r="119" spans="1:12" ht="13.5" customHeight="1">
      <c r="A119" s="209"/>
      <c r="B119" s="311"/>
      <c r="C119" s="95"/>
      <c r="D119" s="95"/>
      <c r="E119" s="312">
        <f>E101+1</f>
        <v>22</v>
      </c>
      <c r="F119" s="313" t="s">
        <v>1514</v>
      </c>
      <c r="G119" s="313"/>
      <c r="H119" s="95"/>
      <c r="I119" s="313"/>
      <c r="J119" s="313" t="s">
        <v>643</v>
      </c>
      <c r="K119" s="313"/>
      <c r="L119" s="314"/>
    </row>
    <row r="120" spans="1:12" ht="13.5" customHeight="1">
      <c r="A120" s="145" t="s">
        <v>639</v>
      </c>
      <c r="B120" s="319" t="s">
        <v>188</v>
      </c>
      <c r="C120" s="146">
        <v>0.44</v>
      </c>
      <c r="D120" s="320" t="s">
        <v>1019</v>
      </c>
      <c r="E120" s="321">
        <f t="shared" ref="E120:F130" si="23">G120+I120+K120</f>
        <v>3060</v>
      </c>
      <c r="F120" s="321">
        <f t="shared" si="23"/>
        <v>1346</v>
      </c>
      <c r="G120" s="321">
        <v>0</v>
      </c>
      <c r="H120" s="321">
        <f t="shared" ref="H120:H130" si="24">INT(G120*C120)</f>
        <v>0</v>
      </c>
      <c r="I120" s="326">
        <f>자재!F164</f>
        <v>3060</v>
      </c>
      <c r="J120" s="321">
        <f t="shared" ref="J120:J127" si="25">INT(I120*C120)</f>
        <v>1346</v>
      </c>
      <c r="K120" s="321">
        <v>0</v>
      </c>
      <c r="L120" s="322">
        <f t="shared" ref="L120:L130" si="26">INT(K120*C120)</f>
        <v>0</v>
      </c>
    </row>
    <row r="121" spans="1:12" ht="13.5" customHeight="1">
      <c r="A121" s="145" t="s">
        <v>189</v>
      </c>
      <c r="B121" s="319" t="s">
        <v>188</v>
      </c>
      <c r="C121" s="146">
        <v>0.44</v>
      </c>
      <c r="D121" s="320" t="s">
        <v>1019</v>
      </c>
      <c r="E121" s="321">
        <f t="shared" si="23"/>
        <v>2550</v>
      </c>
      <c r="F121" s="321">
        <f t="shared" si="23"/>
        <v>1122</v>
      </c>
      <c r="G121" s="321">
        <v>0</v>
      </c>
      <c r="H121" s="321">
        <f t="shared" si="24"/>
        <v>0</v>
      </c>
      <c r="I121" s="326">
        <f>자재!F165</f>
        <v>2550</v>
      </c>
      <c r="J121" s="321">
        <f t="shared" si="25"/>
        <v>1122</v>
      </c>
      <c r="K121" s="321">
        <v>0</v>
      </c>
      <c r="L121" s="322">
        <f t="shared" si="26"/>
        <v>0</v>
      </c>
    </row>
    <row r="122" spans="1:12" ht="13.5" customHeight="1">
      <c r="A122" s="145" t="s">
        <v>190</v>
      </c>
      <c r="B122" s="319" t="s">
        <v>191</v>
      </c>
      <c r="C122" s="146">
        <v>0.23</v>
      </c>
      <c r="D122" s="320" t="s">
        <v>1022</v>
      </c>
      <c r="E122" s="321">
        <f t="shared" si="23"/>
        <v>39600</v>
      </c>
      <c r="F122" s="321">
        <f t="shared" si="23"/>
        <v>9108</v>
      </c>
      <c r="G122" s="321">
        <v>0</v>
      </c>
      <c r="H122" s="321">
        <f t="shared" si="24"/>
        <v>0</v>
      </c>
      <c r="I122" s="321">
        <f>자재!F166</f>
        <v>39600</v>
      </c>
      <c r="J122" s="321">
        <f t="shared" si="25"/>
        <v>9108</v>
      </c>
      <c r="K122" s="321">
        <v>0</v>
      </c>
      <c r="L122" s="322">
        <f t="shared" si="26"/>
        <v>0</v>
      </c>
    </row>
    <row r="123" spans="1:12" ht="13.5" customHeight="1">
      <c r="A123" s="145" t="s">
        <v>192</v>
      </c>
      <c r="B123" s="319" t="s">
        <v>191</v>
      </c>
      <c r="C123" s="146">
        <v>0.08</v>
      </c>
      <c r="D123" s="320" t="s">
        <v>1022</v>
      </c>
      <c r="E123" s="321">
        <f t="shared" si="23"/>
        <v>67830</v>
      </c>
      <c r="F123" s="321">
        <f t="shared" si="23"/>
        <v>5426</v>
      </c>
      <c r="G123" s="321">
        <v>0</v>
      </c>
      <c r="H123" s="321">
        <f t="shared" si="24"/>
        <v>0</v>
      </c>
      <c r="I123" s="321">
        <f>자재!F167</f>
        <v>67830</v>
      </c>
      <c r="J123" s="321">
        <f t="shared" si="25"/>
        <v>5426</v>
      </c>
      <c r="K123" s="321">
        <v>0</v>
      </c>
      <c r="L123" s="322">
        <f t="shared" si="26"/>
        <v>0</v>
      </c>
    </row>
    <row r="124" spans="1:12" ht="13.5" customHeight="1">
      <c r="A124" s="145" t="s">
        <v>1198</v>
      </c>
      <c r="B124" s="319" t="s">
        <v>191</v>
      </c>
      <c r="C124" s="146">
        <v>0.04</v>
      </c>
      <c r="D124" s="320" t="s">
        <v>1022</v>
      </c>
      <c r="E124" s="321">
        <f t="shared" si="23"/>
        <v>109800</v>
      </c>
      <c r="F124" s="321">
        <f t="shared" si="23"/>
        <v>4392</v>
      </c>
      <c r="G124" s="321">
        <v>0</v>
      </c>
      <c r="H124" s="321">
        <f t="shared" si="24"/>
        <v>0</v>
      </c>
      <c r="I124" s="321">
        <f>자재!F168</f>
        <v>109800</v>
      </c>
      <c r="J124" s="321">
        <f t="shared" si="25"/>
        <v>4392</v>
      </c>
      <c r="K124" s="321">
        <v>0</v>
      </c>
      <c r="L124" s="322">
        <f t="shared" si="26"/>
        <v>0</v>
      </c>
    </row>
    <row r="125" spans="1:12" ht="13.5" customHeight="1">
      <c r="A125" s="145" t="s">
        <v>1199</v>
      </c>
      <c r="B125" s="319"/>
      <c r="C125" s="146">
        <v>0.31</v>
      </c>
      <c r="D125" s="320" t="s">
        <v>1321</v>
      </c>
      <c r="E125" s="321">
        <f t="shared" si="23"/>
        <v>6000</v>
      </c>
      <c r="F125" s="321">
        <f t="shared" si="23"/>
        <v>1860</v>
      </c>
      <c r="G125" s="321">
        <v>0</v>
      </c>
      <c r="H125" s="321">
        <f t="shared" si="24"/>
        <v>0</v>
      </c>
      <c r="I125" s="321">
        <f>자재!F170</f>
        <v>6000</v>
      </c>
      <c r="J125" s="321">
        <f t="shared" si="25"/>
        <v>1860</v>
      </c>
      <c r="K125" s="321">
        <v>0</v>
      </c>
      <c r="L125" s="322">
        <f t="shared" si="26"/>
        <v>0</v>
      </c>
    </row>
    <row r="126" spans="1:12" ht="13.5" customHeight="1">
      <c r="A126" s="145" t="s">
        <v>1200</v>
      </c>
      <c r="B126" s="319" t="s">
        <v>1201</v>
      </c>
      <c r="C126" s="146">
        <v>0.04</v>
      </c>
      <c r="D126" s="320" t="s">
        <v>1022</v>
      </c>
      <c r="E126" s="321">
        <f t="shared" si="23"/>
        <v>15200</v>
      </c>
      <c r="F126" s="321">
        <f t="shared" si="23"/>
        <v>608</v>
      </c>
      <c r="G126" s="321">
        <v>0</v>
      </c>
      <c r="H126" s="321">
        <f t="shared" si="24"/>
        <v>0</v>
      </c>
      <c r="I126" s="321">
        <f>자재!F171</f>
        <v>15200</v>
      </c>
      <c r="J126" s="321">
        <f t="shared" si="25"/>
        <v>608</v>
      </c>
      <c r="K126" s="321">
        <v>0</v>
      </c>
      <c r="L126" s="322">
        <f t="shared" si="26"/>
        <v>0</v>
      </c>
    </row>
    <row r="127" spans="1:12" ht="13.5" customHeight="1">
      <c r="A127" s="145" t="s">
        <v>1203</v>
      </c>
      <c r="B127" s="319" t="s">
        <v>1515</v>
      </c>
      <c r="C127" s="146">
        <v>1.23</v>
      </c>
      <c r="D127" s="320" t="s">
        <v>1016</v>
      </c>
      <c r="E127" s="321">
        <f t="shared" si="23"/>
        <v>7140</v>
      </c>
      <c r="F127" s="321">
        <f t="shared" si="23"/>
        <v>8782</v>
      </c>
      <c r="G127" s="321">
        <v>0</v>
      </c>
      <c r="H127" s="321">
        <f t="shared" si="24"/>
        <v>0</v>
      </c>
      <c r="I127" s="321">
        <f>자재!F173</f>
        <v>7140</v>
      </c>
      <c r="J127" s="321">
        <f t="shared" si="25"/>
        <v>8782</v>
      </c>
      <c r="K127" s="321">
        <v>0</v>
      </c>
      <c r="L127" s="322">
        <f t="shared" si="26"/>
        <v>0</v>
      </c>
    </row>
    <row r="128" spans="1:12" ht="13.5" customHeight="1">
      <c r="A128" s="145" t="s">
        <v>1202</v>
      </c>
      <c r="B128" s="319"/>
      <c r="C128" s="146">
        <v>0.02</v>
      </c>
      <c r="D128" s="320" t="s">
        <v>1022</v>
      </c>
      <c r="E128" s="321">
        <f t="shared" si="23"/>
        <v>8495</v>
      </c>
      <c r="F128" s="321">
        <f t="shared" si="23"/>
        <v>169</v>
      </c>
      <c r="G128" s="321">
        <v>0</v>
      </c>
      <c r="H128" s="321">
        <f t="shared" si="24"/>
        <v>0</v>
      </c>
      <c r="I128" s="321">
        <f>자재!F172</f>
        <v>8495</v>
      </c>
      <c r="J128" s="321">
        <f>INT(I128*C128)</f>
        <v>169</v>
      </c>
      <c r="K128" s="321">
        <v>0</v>
      </c>
      <c r="L128" s="322">
        <f t="shared" si="26"/>
        <v>0</v>
      </c>
    </row>
    <row r="129" spans="1:12" ht="13.5" customHeight="1">
      <c r="A129" s="145" t="s">
        <v>1205</v>
      </c>
      <c r="B129" s="319" t="s">
        <v>1206</v>
      </c>
      <c r="C129" s="146">
        <v>7.0000000000000007E-2</v>
      </c>
      <c r="D129" s="320" t="s">
        <v>1017</v>
      </c>
      <c r="E129" s="321">
        <f t="shared" si="23"/>
        <v>55000</v>
      </c>
      <c r="F129" s="321">
        <f t="shared" si="23"/>
        <v>3850</v>
      </c>
      <c r="G129" s="321">
        <v>0</v>
      </c>
      <c r="H129" s="321">
        <f t="shared" si="24"/>
        <v>0</v>
      </c>
      <c r="I129" s="321">
        <f>자재!F174</f>
        <v>55000</v>
      </c>
      <c r="J129" s="321">
        <f>INT(I129*C129)</f>
        <v>3850</v>
      </c>
      <c r="K129" s="321">
        <v>0</v>
      </c>
      <c r="L129" s="322">
        <f t="shared" si="26"/>
        <v>0</v>
      </c>
    </row>
    <row r="130" spans="1:12" ht="13.5" customHeight="1">
      <c r="A130" s="145" t="s">
        <v>1207</v>
      </c>
      <c r="B130" s="319" t="s">
        <v>188</v>
      </c>
      <c r="C130" s="146">
        <v>1.52</v>
      </c>
      <c r="D130" s="320" t="s">
        <v>1017</v>
      </c>
      <c r="E130" s="321">
        <f t="shared" si="23"/>
        <v>1800</v>
      </c>
      <c r="F130" s="321">
        <f t="shared" si="23"/>
        <v>2736</v>
      </c>
      <c r="G130" s="321">
        <v>0</v>
      </c>
      <c r="H130" s="321">
        <f t="shared" si="24"/>
        <v>0</v>
      </c>
      <c r="I130" s="321">
        <f>자재!F175</f>
        <v>1800</v>
      </c>
      <c r="J130" s="321">
        <f>INT(I130*C130)</f>
        <v>2736</v>
      </c>
      <c r="K130" s="321">
        <v>0</v>
      </c>
      <c r="L130" s="322">
        <f t="shared" si="26"/>
        <v>0</v>
      </c>
    </row>
    <row r="131" spans="1:12" ht="13.5" customHeight="1">
      <c r="A131" s="145" t="s">
        <v>617</v>
      </c>
      <c r="B131" s="319"/>
      <c r="C131" s="146"/>
      <c r="D131" s="146"/>
      <c r="E131" s="321"/>
      <c r="F131" s="321">
        <f>H131+J131+L131</f>
        <v>39399</v>
      </c>
      <c r="G131" s="321"/>
      <c r="H131" s="321">
        <f>SUM(H120:H130)</f>
        <v>0</v>
      </c>
      <c r="I131" s="321"/>
      <c r="J131" s="321">
        <f>SUM(J120:J130)</f>
        <v>39399</v>
      </c>
      <c r="K131" s="321"/>
      <c r="L131" s="322">
        <f>SUM(L120:L130)</f>
        <v>0</v>
      </c>
    </row>
    <row r="132" spans="1:12" ht="13.5" customHeight="1">
      <c r="A132" s="209"/>
      <c r="B132" s="311"/>
      <c r="C132" s="95"/>
      <c r="D132" s="95"/>
      <c r="E132" s="312">
        <f>E119+1</f>
        <v>23</v>
      </c>
      <c r="F132" s="313" t="s">
        <v>1516</v>
      </c>
      <c r="G132" s="313"/>
      <c r="H132" s="95"/>
      <c r="I132" s="313"/>
      <c r="J132" s="313" t="s">
        <v>643</v>
      </c>
      <c r="K132" s="313"/>
      <c r="L132" s="314"/>
    </row>
    <row r="133" spans="1:12" ht="13.5" customHeight="1">
      <c r="A133" s="145" t="s">
        <v>1211</v>
      </c>
      <c r="B133" s="319"/>
      <c r="C133" s="146">
        <v>0.4</v>
      </c>
      <c r="D133" s="320" t="s">
        <v>1328</v>
      </c>
      <c r="E133" s="321">
        <f>G133+I133+K133</f>
        <v>277642</v>
      </c>
      <c r="F133" s="321">
        <f>H133+J133+L133</f>
        <v>111056</v>
      </c>
      <c r="G133" s="321">
        <f>노임!B3</f>
        <v>277642</v>
      </c>
      <c r="H133" s="321">
        <f>INT(G133*C133)</f>
        <v>111056</v>
      </c>
      <c r="I133" s="321">
        <v>0</v>
      </c>
      <c r="J133" s="321">
        <f>INT(I133*C133)</f>
        <v>0</v>
      </c>
      <c r="K133" s="321">
        <v>0</v>
      </c>
      <c r="L133" s="322">
        <f>INT(K133*C133)</f>
        <v>0</v>
      </c>
    </row>
    <row r="134" spans="1:12" ht="13.5" customHeight="1">
      <c r="A134" s="145" t="s">
        <v>1329</v>
      </c>
      <c r="B134" s="319"/>
      <c r="C134" s="146">
        <v>0.2</v>
      </c>
      <c r="D134" s="320" t="s">
        <v>1328</v>
      </c>
      <c r="E134" s="321">
        <f>G134+I134+K134</f>
        <v>172068</v>
      </c>
      <c r="F134" s="321">
        <f>H134+J134+L134</f>
        <v>34413</v>
      </c>
      <c r="G134" s="321">
        <f>노임!D14</f>
        <v>172068</v>
      </c>
      <c r="H134" s="321">
        <f>INT(G134*C134)</f>
        <v>34413</v>
      </c>
      <c r="I134" s="321">
        <v>0</v>
      </c>
      <c r="J134" s="321">
        <f>INT(I134*C134)</f>
        <v>0</v>
      </c>
      <c r="K134" s="321">
        <v>0</v>
      </c>
      <c r="L134" s="322">
        <f>INT(K134*C134)</f>
        <v>0</v>
      </c>
    </row>
    <row r="135" spans="1:12" ht="13.5" customHeight="1">
      <c r="A135" s="145" t="s">
        <v>617</v>
      </c>
      <c r="B135" s="319"/>
      <c r="C135" s="146"/>
      <c r="D135" s="146"/>
      <c r="E135" s="321"/>
      <c r="F135" s="321">
        <f>H135+J135+L135</f>
        <v>145469</v>
      </c>
      <c r="G135" s="321"/>
      <c r="H135" s="321">
        <f>SUM(H133:H134)</f>
        <v>145469</v>
      </c>
      <c r="I135" s="321"/>
      <c r="J135" s="321">
        <f>SUM(J133:J134)</f>
        <v>0</v>
      </c>
      <c r="K135" s="321"/>
      <c r="L135" s="322">
        <f>SUM(L133:L134)</f>
        <v>0</v>
      </c>
    </row>
    <row r="136" spans="1:12" ht="13.5" customHeight="1">
      <c r="A136" s="209"/>
      <c r="B136" s="311"/>
      <c r="C136" s="95"/>
      <c r="D136" s="95"/>
      <c r="E136" s="312">
        <f>E132+1</f>
        <v>24</v>
      </c>
      <c r="F136" s="313" t="s">
        <v>1517</v>
      </c>
      <c r="G136" s="313"/>
      <c r="H136" s="95"/>
      <c r="I136" s="313"/>
      <c r="J136" s="313" t="s">
        <v>643</v>
      </c>
      <c r="K136" s="313"/>
      <c r="L136" s="314"/>
    </row>
    <row r="137" spans="1:12" ht="13.5" customHeight="1">
      <c r="A137" s="145" t="s">
        <v>1211</v>
      </c>
      <c r="B137" s="319"/>
      <c r="C137" s="146">
        <v>0.3</v>
      </c>
      <c r="D137" s="320" t="s">
        <v>1328</v>
      </c>
      <c r="E137" s="321">
        <f>G137+I137+K137</f>
        <v>277642</v>
      </c>
      <c r="F137" s="321">
        <f>H137+J137+L137</f>
        <v>83292</v>
      </c>
      <c r="G137" s="321">
        <f>노임!B3</f>
        <v>277642</v>
      </c>
      <c r="H137" s="321">
        <f>INT(G137*C137)</f>
        <v>83292</v>
      </c>
      <c r="I137" s="321">
        <v>0</v>
      </c>
      <c r="J137" s="321">
        <f>INT(I137*C137)</f>
        <v>0</v>
      </c>
      <c r="K137" s="321">
        <v>0</v>
      </c>
      <c r="L137" s="322">
        <f>INT(K137*C137)</f>
        <v>0</v>
      </c>
    </row>
    <row r="138" spans="1:12" ht="13.5" customHeight="1">
      <c r="A138" s="145" t="s">
        <v>1329</v>
      </c>
      <c r="B138" s="319"/>
      <c r="C138" s="146">
        <v>0.15</v>
      </c>
      <c r="D138" s="320" t="s">
        <v>1328</v>
      </c>
      <c r="E138" s="321">
        <f>G138+I138+K138</f>
        <v>172068</v>
      </c>
      <c r="F138" s="321">
        <f>H138+J138+L138</f>
        <v>25810</v>
      </c>
      <c r="G138" s="321">
        <f>노임!D14</f>
        <v>172068</v>
      </c>
      <c r="H138" s="321">
        <f>INT(G138*C138)</f>
        <v>25810</v>
      </c>
      <c r="I138" s="321">
        <v>0</v>
      </c>
      <c r="J138" s="321">
        <f>INT(I138*C138)</f>
        <v>0</v>
      </c>
      <c r="K138" s="321">
        <v>0</v>
      </c>
      <c r="L138" s="322">
        <f>INT(K138*C138)</f>
        <v>0</v>
      </c>
    </row>
    <row r="139" spans="1:12" ht="13.5" customHeight="1">
      <c r="A139" s="145" t="s">
        <v>617</v>
      </c>
      <c r="B139" s="319"/>
      <c r="C139" s="146"/>
      <c r="D139" s="146"/>
      <c r="E139" s="321"/>
      <c r="F139" s="321">
        <f>H139+J139+L139</f>
        <v>109102</v>
      </c>
      <c r="G139" s="321"/>
      <c r="H139" s="321">
        <f>SUM(H137:H138)</f>
        <v>109102</v>
      </c>
      <c r="I139" s="321"/>
      <c r="J139" s="321">
        <f>SUM(J137:J138)</f>
        <v>0</v>
      </c>
      <c r="K139" s="321"/>
      <c r="L139" s="322">
        <f>SUM(L137:L138)</f>
        <v>0</v>
      </c>
    </row>
    <row r="140" spans="1:12" ht="13.5" customHeight="1">
      <c r="A140" s="209"/>
      <c r="B140" s="311"/>
      <c r="C140" s="95"/>
      <c r="D140" s="95"/>
      <c r="E140" s="312">
        <f>E136+1</f>
        <v>25</v>
      </c>
      <c r="F140" s="313" t="s">
        <v>1275</v>
      </c>
      <c r="G140" s="313"/>
      <c r="H140" s="95"/>
      <c r="I140" s="313"/>
      <c r="J140" s="313" t="s">
        <v>517</v>
      </c>
      <c r="K140" s="313"/>
      <c r="L140" s="314"/>
    </row>
    <row r="141" spans="1:12" ht="13.5" customHeight="1">
      <c r="A141" s="145" t="s">
        <v>1212</v>
      </c>
      <c r="B141" s="330" t="s">
        <v>1715</v>
      </c>
      <c r="C141" s="146">
        <f>1.24+1.84</f>
        <v>3.08</v>
      </c>
      <c r="D141" s="320" t="s">
        <v>1328</v>
      </c>
      <c r="E141" s="321">
        <f t="shared" ref="E141:F144" si="27">G141+I141+K141</f>
        <v>268187</v>
      </c>
      <c r="F141" s="321">
        <f t="shared" si="27"/>
        <v>826015</v>
      </c>
      <c r="G141" s="321">
        <f>노임!B7</f>
        <v>268187</v>
      </c>
      <c r="H141" s="321">
        <f>INT(G141*C141)</f>
        <v>826015</v>
      </c>
      <c r="I141" s="321">
        <v>0</v>
      </c>
      <c r="J141" s="321">
        <f>INT(I141*C141)</f>
        <v>0</v>
      </c>
      <c r="K141" s="321">
        <v>0</v>
      </c>
      <c r="L141" s="322">
        <f>INT(K141*C141)</f>
        <v>0</v>
      </c>
    </row>
    <row r="142" spans="1:12" ht="13.5" customHeight="1">
      <c r="A142" s="145" t="s">
        <v>615</v>
      </c>
      <c r="B142" s="330" t="s">
        <v>1716</v>
      </c>
      <c r="C142" s="147">
        <v>1.2</v>
      </c>
      <c r="D142" s="320" t="s">
        <v>1328</v>
      </c>
      <c r="E142" s="321">
        <f t="shared" si="27"/>
        <v>172068</v>
      </c>
      <c r="F142" s="321">
        <f t="shared" si="27"/>
        <v>206481</v>
      </c>
      <c r="G142" s="321">
        <f>노임!D14</f>
        <v>172068</v>
      </c>
      <c r="H142" s="321">
        <f>INT(G142*C142)</f>
        <v>206481</v>
      </c>
      <c r="I142" s="321">
        <v>0</v>
      </c>
      <c r="J142" s="321">
        <f>INT(I142*C142)</f>
        <v>0</v>
      </c>
      <c r="K142" s="321">
        <v>0</v>
      </c>
      <c r="L142" s="322">
        <f>INT(K142*C142)</f>
        <v>0</v>
      </c>
    </row>
    <row r="143" spans="1:12" ht="13.5" customHeight="1">
      <c r="A143" s="145" t="s">
        <v>1213</v>
      </c>
      <c r="B143" s="319" t="s">
        <v>1214</v>
      </c>
      <c r="C143" s="146">
        <v>6.5</v>
      </c>
      <c r="D143" s="320" t="s">
        <v>1018</v>
      </c>
      <c r="E143" s="321">
        <f t="shared" si="27"/>
        <v>1215</v>
      </c>
      <c r="F143" s="321">
        <f t="shared" si="27"/>
        <v>7897</v>
      </c>
      <c r="G143" s="321">
        <v>0</v>
      </c>
      <c r="H143" s="321">
        <f>INT(G143*C143)</f>
        <v>0</v>
      </c>
      <c r="I143" s="321">
        <f>자재!F119</f>
        <v>1215</v>
      </c>
      <c r="J143" s="321">
        <f>INT(I143*C143)</f>
        <v>7897</v>
      </c>
      <c r="K143" s="321">
        <v>0</v>
      </c>
      <c r="L143" s="322">
        <f>INT(K143*C143)</f>
        <v>0</v>
      </c>
    </row>
    <row r="144" spans="1:12" ht="13.5" customHeight="1">
      <c r="A144" s="145" t="s">
        <v>1518</v>
      </c>
      <c r="B144" s="319" t="s">
        <v>1519</v>
      </c>
      <c r="C144" s="146">
        <v>0.02</v>
      </c>
      <c r="D144" s="320" t="s">
        <v>416</v>
      </c>
      <c r="E144" s="321">
        <f t="shared" si="27"/>
        <v>409982</v>
      </c>
      <c r="F144" s="321">
        <f t="shared" si="27"/>
        <v>8199</v>
      </c>
      <c r="G144" s="321"/>
      <c r="H144" s="321"/>
      <c r="I144" s="321"/>
      <c r="J144" s="321"/>
      <c r="K144" s="321">
        <f>INT((($G$141*1.24)+($G$142*0.45)))</f>
        <v>409982</v>
      </c>
      <c r="L144" s="322">
        <f>INT(K144*C144)</f>
        <v>8199</v>
      </c>
    </row>
    <row r="145" spans="1:12" ht="13.5" customHeight="1">
      <c r="A145" s="145" t="s">
        <v>617</v>
      </c>
      <c r="B145" s="319"/>
      <c r="C145" s="146"/>
      <c r="D145" s="146"/>
      <c r="E145" s="321"/>
      <c r="F145" s="321">
        <f>H145+J145+L145</f>
        <v>1048592</v>
      </c>
      <c r="G145" s="321"/>
      <c r="H145" s="321">
        <f>SUM(H141:H144)</f>
        <v>1032496</v>
      </c>
      <c r="I145" s="321"/>
      <c r="J145" s="321">
        <f>SUM(J141:J144)</f>
        <v>7897</v>
      </c>
      <c r="K145" s="321"/>
      <c r="L145" s="322">
        <f>SUM(L141:L144)</f>
        <v>8199</v>
      </c>
    </row>
    <row r="146" spans="1:12" ht="13.5" customHeight="1">
      <c r="A146" s="209"/>
      <c r="B146" s="311"/>
      <c r="C146" s="95"/>
      <c r="D146" s="95"/>
      <c r="E146" s="312">
        <f>E140+1</f>
        <v>26</v>
      </c>
      <c r="F146" s="313" t="s">
        <v>1276</v>
      </c>
      <c r="G146" s="313"/>
      <c r="H146" s="95"/>
      <c r="I146" s="313"/>
      <c r="J146" s="313" t="s">
        <v>517</v>
      </c>
      <c r="K146" s="313"/>
      <c r="L146" s="314"/>
    </row>
    <row r="147" spans="1:12" ht="13.5" customHeight="1">
      <c r="A147" s="145" t="s">
        <v>1212</v>
      </c>
      <c r="B147" s="330" t="s">
        <v>1717</v>
      </c>
      <c r="C147" s="146">
        <f>1.51+1.92</f>
        <v>3.4299999999999997</v>
      </c>
      <c r="D147" s="320" t="s">
        <v>1328</v>
      </c>
      <c r="E147" s="321">
        <f t="shared" ref="E147:F150" si="28">G147+I147+K147</f>
        <v>268187</v>
      </c>
      <c r="F147" s="321">
        <f t="shared" si="28"/>
        <v>919881</v>
      </c>
      <c r="G147" s="321">
        <f>노임!B7</f>
        <v>268187</v>
      </c>
      <c r="H147" s="321">
        <f>INT(G147*C147)</f>
        <v>919881</v>
      </c>
      <c r="I147" s="321">
        <v>0</v>
      </c>
      <c r="J147" s="321">
        <f>INT(I147*C147)</f>
        <v>0</v>
      </c>
      <c r="K147" s="321">
        <v>0</v>
      </c>
      <c r="L147" s="322">
        <f>INT(K147*C147)</f>
        <v>0</v>
      </c>
    </row>
    <row r="148" spans="1:12" ht="13.5" customHeight="1">
      <c r="A148" s="145" t="s">
        <v>615</v>
      </c>
      <c r="B148" s="330" t="s">
        <v>1718</v>
      </c>
      <c r="C148" s="147">
        <f>0.5+0.8</f>
        <v>1.3</v>
      </c>
      <c r="D148" s="320" t="s">
        <v>1328</v>
      </c>
      <c r="E148" s="321">
        <f t="shared" si="28"/>
        <v>172068</v>
      </c>
      <c r="F148" s="321">
        <f t="shared" si="28"/>
        <v>223688</v>
      </c>
      <c r="G148" s="321">
        <f>노임!D14</f>
        <v>172068</v>
      </c>
      <c r="H148" s="321">
        <f>INT(G148*C148)</f>
        <v>223688</v>
      </c>
      <c r="I148" s="321">
        <v>0</v>
      </c>
      <c r="J148" s="321">
        <f>INT(I148*C148)</f>
        <v>0</v>
      </c>
      <c r="K148" s="321">
        <v>0</v>
      </c>
      <c r="L148" s="322">
        <f>INT(K148*C148)</f>
        <v>0</v>
      </c>
    </row>
    <row r="149" spans="1:12" ht="13.5" customHeight="1">
      <c r="A149" s="145" t="s">
        <v>1213</v>
      </c>
      <c r="B149" s="319" t="s">
        <v>1214</v>
      </c>
      <c r="C149" s="748">
        <v>8</v>
      </c>
      <c r="D149" s="320" t="s">
        <v>1018</v>
      </c>
      <c r="E149" s="321">
        <f t="shared" si="28"/>
        <v>1215</v>
      </c>
      <c r="F149" s="321">
        <f t="shared" si="28"/>
        <v>9720</v>
      </c>
      <c r="G149" s="321">
        <v>0</v>
      </c>
      <c r="H149" s="321">
        <f>INT(G149*C149)</f>
        <v>0</v>
      </c>
      <c r="I149" s="321">
        <f>자재!F119</f>
        <v>1215</v>
      </c>
      <c r="J149" s="321">
        <f>INT(I149*C149)</f>
        <v>9720</v>
      </c>
      <c r="K149" s="321">
        <v>0</v>
      </c>
      <c r="L149" s="322">
        <f>INT(K149*C149)</f>
        <v>0</v>
      </c>
    </row>
    <row r="150" spans="1:12" ht="13.5" customHeight="1">
      <c r="A150" s="145" t="s">
        <v>1518</v>
      </c>
      <c r="B150" s="319" t="s">
        <v>1519</v>
      </c>
      <c r="C150" s="146">
        <v>0.02</v>
      </c>
      <c r="D150" s="320" t="s">
        <v>416</v>
      </c>
      <c r="E150" s="321">
        <f t="shared" si="28"/>
        <v>490996</v>
      </c>
      <c r="F150" s="321">
        <f t="shared" si="28"/>
        <v>9819</v>
      </c>
      <c r="G150" s="321"/>
      <c r="H150" s="321"/>
      <c r="I150" s="321"/>
      <c r="J150" s="321"/>
      <c r="K150" s="321">
        <f>INT((($G$141*1.51)+($G$142*0.5)))</f>
        <v>490996</v>
      </c>
      <c r="L150" s="322">
        <f>INT(K150*C150)</f>
        <v>9819</v>
      </c>
    </row>
    <row r="151" spans="1:12" ht="13.5" customHeight="1">
      <c r="A151" s="145" t="s">
        <v>617</v>
      </c>
      <c r="B151" s="319"/>
      <c r="C151" s="146"/>
      <c r="D151" s="146"/>
      <c r="E151" s="321"/>
      <c r="F151" s="321">
        <f>H151+J151+L151</f>
        <v>1163108</v>
      </c>
      <c r="G151" s="321"/>
      <c r="H151" s="321">
        <f>SUM(H147:H150)</f>
        <v>1143569</v>
      </c>
      <c r="I151" s="321"/>
      <c r="J151" s="321">
        <f>SUM(J147:J150)</f>
        <v>9720</v>
      </c>
      <c r="K151" s="321"/>
      <c r="L151" s="322">
        <f>SUM(L147:L150)</f>
        <v>9819</v>
      </c>
    </row>
    <row r="152" spans="1:12" ht="13.5" customHeight="1">
      <c r="A152" s="209"/>
      <c r="B152" s="311"/>
      <c r="C152" s="95"/>
      <c r="D152" s="95"/>
      <c r="E152" s="312">
        <f>E146+1</f>
        <v>27</v>
      </c>
      <c r="F152" s="313" t="s">
        <v>1520</v>
      </c>
      <c r="G152" s="313"/>
      <c r="H152" s="95"/>
      <c r="I152" s="313"/>
      <c r="J152" s="313" t="s">
        <v>517</v>
      </c>
      <c r="K152" s="313"/>
      <c r="L152" s="314"/>
    </row>
    <row r="153" spans="1:12" ht="13.5" customHeight="1">
      <c r="A153" s="145" t="s">
        <v>1212</v>
      </c>
      <c r="B153" s="319" t="s">
        <v>1719</v>
      </c>
      <c r="C153" s="146">
        <f>1.07+1.69</f>
        <v>2.76</v>
      </c>
      <c r="D153" s="320" t="s">
        <v>1328</v>
      </c>
      <c r="E153" s="321">
        <f t="shared" ref="E153:F156" si="29">G153+I153+K153</f>
        <v>268187</v>
      </c>
      <c r="F153" s="321">
        <f t="shared" si="29"/>
        <v>740196</v>
      </c>
      <c r="G153" s="321">
        <f>노임!B7</f>
        <v>268187</v>
      </c>
      <c r="H153" s="321">
        <f>INT(G153*C153)</f>
        <v>740196</v>
      </c>
      <c r="I153" s="321">
        <v>0</v>
      </c>
      <c r="J153" s="321">
        <f>INT(I153*C153)</f>
        <v>0</v>
      </c>
      <c r="K153" s="321">
        <v>0</v>
      </c>
      <c r="L153" s="322">
        <f>INT(K153*C153)</f>
        <v>0</v>
      </c>
    </row>
    <row r="154" spans="1:12" ht="13.5" customHeight="1">
      <c r="A154" s="145" t="s">
        <v>615</v>
      </c>
      <c r="B154" s="319" t="s">
        <v>1720</v>
      </c>
      <c r="C154" s="146">
        <f>0.35+0.69</f>
        <v>1.04</v>
      </c>
      <c r="D154" s="320" t="s">
        <v>1328</v>
      </c>
      <c r="E154" s="321">
        <f t="shared" si="29"/>
        <v>172068</v>
      </c>
      <c r="F154" s="321">
        <f t="shared" si="29"/>
        <v>178950</v>
      </c>
      <c r="G154" s="321">
        <f>노임!D14</f>
        <v>172068</v>
      </c>
      <c r="H154" s="321">
        <f>INT(G154*C154)</f>
        <v>178950</v>
      </c>
      <c r="I154" s="321">
        <v>0</v>
      </c>
      <c r="J154" s="321">
        <f>INT(I154*C154)</f>
        <v>0</v>
      </c>
      <c r="K154" s="321">
        <v>0</v>
      </c>
      <c r="L154" s="322">
        <f>INT(K154*C154)</f>
        <v>0</v>
      </c>
    </row>
    <row r="155" spans="1:12" ht="13.5" customHeight="1">
      <c r="A155" s="145" t="s">
        <v>1213</v>
      </c>
      <c r="B155" s="319" t="s">
        <v>1214</v>
      </c>
      <c r="C155" s="146">
        <v>5</v>
      </c>
      <c r="D155" s="320" t="s">
        <v>1018</v>
      </c>
      <c r="E155" s="321">
        <f t="shared" si="29"/>
        <v>1215</v>
      </c>
      <c r="F155" s="321">
        <f t="shared" si="29"/>
        <v>6075</v>
      </c>
      <c r="G155" s="321">
        <v>0</v>
      </c>
      <c r="H155" s="321">
        <f>INT(G155*C155)</f>
        <v>0</v>
      </c>
      <c r="I155" s="321">
        <f>자재!F119</f>
        <v>1215</v>
      </c>
      <c r="J155" s="321">
        <f>INT(I155*C155)</f>
        <v>6075</v>
      </c>
      <c r="K155" s="321">
        <v>0</v>
      </c>
      <c r="L155" s="322">
        <f>INT(K155*C155)</f>
        <v>0</v>
      </c>
    </row>
    <row r="156" spans="1:12" ht="13.5" customHeight="1">
      <c r="A156" s="145" t="s">
        <v>1518</v>
      </c>
      <c r="B156" s="319" t="s">
        <v>1519</v>
      </c>
      <c r="C156" s="146">
        <v>0.02</v>
      </c>
      <c r="D156" s="320" t="s">
        <v>416</v>
      </c>
      <c r="E156" s="321">
        <f t="shared" si="29"/>
        <v>347183</v>
      </c>
      <c r="F156" s="321">
        <f t="shared" si="29"/>
        <v>6943</v>
      </c>
      <c r="G156" s="321"/>
      <c r="H156" s="321"/>
      <c r="I156" s="321"/>
      <c r="J156" s="321"/>
      <c r="K156" s="321">
        <f>INT((($G$141*1.07)+($G$142*0.35)))</f>
        <v>347183</v>
      </c>
      <c r="L156" s="322">
        <f>INT(K156*C156)</f>
        <v>6943</v>
      </c>
    </row>
    <row r="157" spans="1:12" ht="13.5" customHeight="1">
      <c r="A157" s="145" t="s">
        <v>617</v>
      </c>
      <c r="B157" s="319"/>
      <c r="C157" s="146"/>
      <c r="D157" s="146"/>
      <c r="E157" s="321"/>
      <c r="F157" s="321">
        <f>H157+J157+L157</f>
        <v>932164</v>
      </c>
      <c r="G157" s="321"/>
      <c r="H157" s="321">
        <f>SUM(H153:H156)</f>
        <v>919146</v>
      </c>
      <c r="I157" s="321"/>
      <c r="J157" s="321">
        <f>SUM(J153:J156)</f>
        <v>6075</v>
      </c>
      <c r="K157" s="321"/>
      <c r="L157" s="322">
        <f>SUM(L153:L156)</f>
        <v>6943</v>
      </c>
    </row>
    <row r="158" spans="1:12" ht="13.5" customHeight="1">
      <c r="A158" s="209"/>
      <c r="B158" s="311"/>
      <c r="C158" s="95"/>
      <c r="D158" s="95"/>
      <c r="E158" s="312">
        <f>E152+1</f>
        <v>28</v>
      </c>
      <c r="F158" s="313" t="s">
        <v>1277</v>
      </c>
      <c r="G158" s="313"/>
      <c r="H158" s="95"/>
      <c r="I158" s="313"/>
      <c r="J158" s="313" t="s">
        <v>517</v>
      </c>
      <c r="K158" s="313"/>
      <c r="L158" s="314"/>
    </row>
    <row r="159" spans="1:12" ht="13.5" customHeight="1">
      <c r="A159" s="145" t="s">
        <v>1212</v>
      </c>
      <c r="B159" s="319" t="s">
        <v>1721</v>
      </c>
      <c r="C159" s="146">
        <f>1.24+2.76</f>
        <v>4</v>
      </c>
      <c r="D159" s="320" t="s">
        <v>1328</v>
      </c>
      <c r="E159" s="321">
        <f t="shared" ref="E159:F162" si="30">G159+I159+K159</f>
        <v>268187</v>
      </c>
      <c r="F159" s="321">
        <f t="shared" si="30"/>
        <v>1072748</v>
      </c>
      <c r="G159" s="321">
        <f>노임!B7</f>
        <v>268187</v>
      </c>
      <c r="H159" s="321">
        <f>INT(G159*C159)</f>
        <v>1072748</v>
      </c>
      <c r="I159" s="321">
        <v>0</v>
      </c>
      <c r="J159" s="321">
        <f>INT(I159*C159)</f>
        <v>0</v>
      </c>
      <c r="K159" s="321">
        <v>0</v>
      </c>
      <c r="L159" s="322">
        <f>INT(K159*C159)</f>
        <v>0</v>
      </c>
    </row>
    <row r="160" spans="1:12" ht="13.5" customHeight="1">
      <c r="A160" s="145" t="s">
        <v>615</v>
      </c>
      <c r="B160" s="319" t="s">
        <v>1722</v>
      </c>
      <c r="C160" s="146">
        <f>0.45+1.125</f>
        <v>1.575</v>
      </c>
      <c r="D160" s="320" t="s">
        <v>1328</v>
      </c>
      <c r="E160" s="321">
        <f t="shared" si="30"/>
        <v>172068</v>
      </c>
      <c r="F160" s="321">
        <f t="shared" si="30"/>
        <v>271007</v>
      </c>
      <c r="G160" s="321">
        <f>노임!D14</f>
        <v>172068</v>
      </c>
      <c r="H160" s="321">
        <f>INT(G160*C160)</f>
        <v>271007</v>
      </c>
      <c r="I160" s="321">
        <v>0</v>
      </c>
      <c r="J160" s="321">
        <f>INT(I160*C160)</f>
        <v>0</v>
      </c>
      <c r="K160" s="321">
        <v>0</v>
      </c>
      <c r="L160" s="322">
        <f>INT(K160*C160)</f>
        <v>0</v>
      </c>
    </row>
    <row r="161" spans="1:12" ht="13.5" customHeight="1">
      <c r="A161" s="145" t="s">
        <v>1213</v>
      </c>
      <c r="B161" s="319" t="s">
        <v>1214</v>
      </c>
      <c r="C161" s="146">
        <v>6.5</v>
      </c>
      <c r="D161" s="320" t="s">
        <v>1018</v>
      </c>
      <c r="E161" s="321">
        <f t="shared" si="30"/>
        <v>1215</v>
      </c>
      <c r="F161" s="321">
        <f t="shared" si="30"/>
        <v>7897</v>
      </c>
      <c r="G161" s="321">
        <v>0</v>
      </c>
      <c r="H161" s="321">
        <f>INT(G161*C161)</f>
        <v>0</v>
      </c>
      <c r="I161" s="321">
        <f>자재!F119</f>
        <v>1215</v>
      </c>
      <c r="J161" s="321">
        <f>INT(I161*C161)</f>
        <v>7897</v>
      </c>
      <c r="K161" s="321">
        <v>0</v>
      </c>
      <c r="L161" s="322">
        <f>INT(K161*C161)</f>
        <v>0</v>
      </c>
    </row>
    <row r="162" spans="1:12" ht="13.5" customHeight="1">
      <c r="A162" s="145" t="s">
        <v>1518</v>
      </c>
      <c r="B162" s="319" t="s">
        <v>1519</v>
      </c>
      <c r="C162" s="146">
        <v>0.02</v>
      </c>
      <c r="D162" s="320" t="s">
        <v>416</v>
      </c>
      <c r="E162" s="321">
        <f t="shared" si="30"/>
        <v>409982</v>
      </c>
      <c r="F162" s="321">
        <f t="shared" si="30"/>
        <v>8199</v>
      </c>
      <c r="G162" s="321"/>
      <c r="H162" s="321"/>
      <c r="I162" s="321"/>
      <c r="J162" s="321"/>
      <c r="K162" s="321">
        <f>INT((($G$141*1.24)+($G$142*0.45)))</f>
        <v>409982</v>
      </c>
      <c r="L162" s="322">
        <f>INT(K162*C162)</f>
        <v>8199</v>
      </c>
    </row>
    <row r="163" spans="1:12" ht="13.5" customHeight="1">
      <c r="A163" s="145" t="s">
        <v>617</v>
      </c>
      <c r="B163" s="319"/>
      <c r="C163" s="146"/>
      <c r="D163" s="146"/>
      <c r="E163" s="321"/>
      <c r="F163" s="321">
        <f>H163+J163+L163</f>
        <v>1359851</v>
      </c>
      <c r="G163" s="321"/>
      <c r="H163" s="321">
        <f>SUM(H159:H162)</f>
        <v>1343755</v>
      </c>
      <c r="I163" s="321"/>
      <c r="J163" s="321">
        <f>SUM(J159:J162)</f>
        <v>7897</v>
      </c>
      <c r="K163" s="321"/>
      <c r="L163" s="322">
        <f>SUM(L159:L162)</f>
        <v>8199</v>
      </c>
    </row>
    <row r="164" spans="1:12" ht="13.5" customHeight="1">
      <c r="A164" s="209"/>
      <c r="B164" s="311"/>
      <c r="C164" s="95"/>
      <c r="D164" s="95"/>
      <c r="E164" s="312">
        <f>E158+1</f>
        <v>29</v>
      </c>
      <c r="F164" s="313" t="s">
        <v>1278</v>
      </c>
      <c r="G164" s="313"/>
      <c r="H164" s="95"/>
      <c r="I164" s="313"/>
      <c r="J164" s="313" t="s">
        <v>517</v>
      </c>
      <c r="K164" s="313"/>
      <c r="L164" s="314"/>
    </row>
    <row r="165" spans="1:12" ht="13.5" customHeight="1">
      <c r="A165" s="145" t="s">
        <v>1212</v>
      </c>
      <c r="B165" s="319" t="s">
        <v>1723</v>
      </c>
      <c r="C165" s="146">
        <f>1.51+2.88</f>
        <v>4.3899999999999997</v>
      </c>
      <c r="D165" s="320" t="s">
        <v>1328</v>
      </c>
      <c r="E165" s="321">
        <f t="shared" ref="E165:F168" si="31">G165+I165+K165</f>
        <v>268187</v>
      </c>
      <c r="F165" s="321">
        <f t="shared" si="31"/>
        <v>1177340</v>
      </c>
      <c r="G165" s="321">
        <f>노임!B7</f>
        <v>268187</v>
      </c>
      <c r="H165" s="321">
        <f>INT(G165*C165)</f>
        <v>1177340</v>
      </c>
      <c r="I165" s="321">
        <v>0</v>
      </c>
      <c r="J165" s="321">
        <f>INT(I165*C165)</f>
        <v>0</v>
      </c>
      <c r="K165" s="321">
        <v>0</v>
      </c>
      <c r="L165" s="322">
        <f>INT(K165*C165)</f>
        <v>0</v>
      </c>
    </row>
    <row r="166" spans="1:12" ht="13.5" customHeight="1">
      <c r="A166" s="145" t="s">
        <v>615</v>
      </c>
      <c r="B166" s="319" t="s">
        <v>1724</v>
      </c>
      <c r="C166" s="146">
        <f>0.5+1.2</f>
        <v>1.7</v>
      </c>
      <c r="D166" s="320" t="s">
        <v>1328</v>
      </c>
      <c r="E166" s="321">
        <f t="shared" si="31"/>
        <v>172068</v>
      </c>
      <c r="F166" s="321">
        <f t="shared" si="31"/>
        <v>292515</v>
      </c>
      <c r="G166" s="321">
        <f>노임!D14</f>
        <v>172068</v>
      </c>
      <c r="H166" s="321">
        <f>INT(G166*C166)</f>
        <v>292515</v>
      </c>
      <c r="I166" s="321">
        <v>0</v>
      </c>
      <c r="J166" s="321">
        <f>INT(I166*C166)</f>
        <v>0</v>
      </c>
      <c r="K166" s="321">
        <v>0</v>
      </c>
      <c r="L166" s="322">
        <f>INT(K166*C166)</f>
        <v>0</v>
      </c>
    </row>
    <row r="167" spans="1:12" ht="13.5" customHeight="1">
      <c r="A167" s="145" t="s">
        <v>1213</v>
      </c>
      <c r="B167" s="319" t="s">
        <v>1214</v>
      </c>
      <c r="C167" s="146">
        <v>8</v>
      </c>
      <c r="D167" s="320" t="s">
        <v>1018</v>
      </c>
      <c r="E167" s="321">
        <f t="shared" si="31"/>
        <v>1215</v>
      </c>
      <c r="F167" s="321">
        <f t="shared" si="31"/>
        <v>9720</v>
      </c>
      <c r="G167" s="321">
        <v>0</v>
      </c>
      <c r="H167" s="321">
        <f>INT(G167*C167)</f>
        <v>0</v>
      </c>
      <c r="I167" s="321">
        <f>자재!F119</f>
        <v>1215</v>
      </c>
      <c r="J167" s="321">
        <f>INT(I167*C167)</f>
        <v>9720</v>
      </c>
      <c r="K167" s="321">
        <v>0</v>
      </c>
      <c r="L167" s="322">
        <f>INT(K167*C167)</f>
        <v>0</v>
      </c>
    </row>
    <row r="168" spans="1:12" ht="13.5" customHeight="1">
      <c r="A168" s="145" t="s">
        <v>1518</v>
      </c>
      <c r="B168" s="319" t="s">
        <v>1519</v>
      </c>
      <c r="C168" s="146">
        <v>0.02</v>
      </c>
      <c r="D168" s="320" t="s">
        <v>416</v>
      </c>
      <c r="E168" s="321">
        <f t="shared" si="31"/>
        <v>490996</v>
      </c>
      <c r="F168" s="321">
        <f t="shared" si="31"/>
        <v>9819</v>
      </c>
      <c r="G168" s="321"/>
      <c r="H168" s="321"/>
      <c r="I168" s="321"/>
      <c r="J168" s="321"/>
      <c r="K168" s="321">
        <f>INT((($G$141*1.51)+($G$142*0.5)))</f>
        <v>490996</v>
      </c>
      <c r="L168" s="322">
        <f>INT(K168*C168)</f>
        <v>9819</v>
      </c>
    </row>
    <row r="169" spans="1:12" ht="13.5" customHeight="1">
      <c r="A169" s="145" t="s">
        <v>617</v>
      </c>
      <c r="B169" s="319"/>
      <c r="C169" s="146"/>
      <c r="D169" s="146"/>
      <c r="E169" s="321"/>
      <c r="F169" s="321">
        <f>H169+J169+L169</f>
        <v>1489394</v>
      </c>
      <c r="G169" s="321"/>
      <c r="H169" s="321">
        <f>SUM(H165:H168)</f>
        <v>1469855</v>
      </c>
      <c r="I169" s="321"/>
      <c r="J169" s="321">
        <f>SUM(J165:J168)</f>
        <v>9720</v>
      </c>
      <c r="K169" s="321"/>
      <c r="L169" s="322">
        <f>SUM(L165:L168)</f>
        <v>9819</v>
      </c>
    </row>
    <row r="170" spans="1:12" ht="13.5" customHeight="1">
      <c r="A170" s="209"/>
      <c r="B170" s="311"/>
      <c r="C170" s="95"/>
      <c r="D170" s="95"/>
      <c r="E170" s="312">
        <f>E164+1</f>
        <v>30</v>
      </c>
      <c r="F170" s="313" t="s">
        <v>1025</v>
      </c>
      <c r="G170" s="313"/>
      <c r="H170" s="95"/>
      <c r="I170" s="313"/>
      <c r="J170" s="313" t="s">
        <v>523</v>
      </c>
      <c r="K170" s="313"/>
      <c r="L170" s="314"/>
    </row>
    <row r="171" spans="1:12" ht="13.5" customHeight="1">
      <c r="A171" s="145" t="s">
        <v>658</v>
      </c>
      <c r="B171" s="319"/>
      <c r="C171" s="146">
        <v>0.21</v>
      </c>
      <c r="D171" s="320" t="s">
        <v>1018</v>
      </c>
      <c r="E171" s="321">
        <f t="shared" ref="E171:F174" si="32">G171+I171+K171</f>
        <v>946</v>
      </c>
      <c r="F171" s="321">
        <f t="shared" si="32"/>
        <v>198</v>
      </c>
      <c r="G171" s="321">
        <v>0</v>
      </c>
      <c r="H171" s="321">
        <f>INT(G171*C171)</f>
        <v>0</v>
      </c>
      <c r="I171" s="321">
        <f>자재!F120</f>
        <v>946</v>
      </c>
      <c r="J171" s="321">
        <f>INT(I171*C171)</f>
        <v>198</v>
      </c>
      <c r="K171" s="321">
        <v>0</v>
      </c>
      <c r="L171" s="322">
        <f>INT(K171*C171)</f>
        <v>0</v>
      </c>
    </row>
    <row r="172" spans="1:12" ht="13.5" customHeight="1">
      <c r="A172" s="145" t="s">
        <v>171</v>
      </c>
      <c r="B172" s="319"/>
      <c r="C172" s="146">
        <v>0.151</v>
      </c>
      <c r="D172" s="320" t="s">
        <v>1328</v>
      </c>
      <c r="E172" s="321">
        <f t="shared" si="32"/>
        <v>226122</v>
      </c>
      <c r="F172" s="321">
        <f t="shared" si="32"/>
        <v>34144</v>
      </c>
      <c r="G172" s="321">
        <f>노임!D13</f>
        <v>226122</v>
      </c>
      <c r="H172" s="321">
        <f>INT(G172*C172)</f>
        <v>34144</v>
      </c>
      <c r="I172" s="321">
        <v>0</v>
      </c>
      <c r="J172" s="321">
        <f>INT(I172*C172)</f>
        <v>0</v>
      </c>
      <c r="K172" s="321">
        <v>0</v>
      </c>
      <c r="L172" s="322">
        <f>INT(K172*C172)</f>
        <v>0</v>
      </c>
    </row>
    <row r="173" spans="1:12" ht="13.5" customHeight="1">
      <c r="A173" s="145" t="s">
        <v>1329</v>
      </c>
      <c r="B173" s="319"/>
      <c r="C173" s="146">
        <v>0.11600000000000001</v>
      </c>
      <c r="D173" s="320" t="s">
        <v>1328</v>
      </c>
      <c r="E173" s="321">
        <f t="shared" si="32"/>
        <v>172068</v>
      </c>
      <c r="F173" s="321">
        <f t="shared" si="32"/>
        <v>19959</v>
      </c>
      <c r="G173" s="321">
        <f>노임!D14</f>
        <v>172068</v>
      </c>
      <c r="H173" s="321">
        <f>INT(G173*C173)</f>
        <v>19959</v>
      </c>
      <c r="I173" s="321">
        <v>0</v>
      </c>
      <c r="J173" s="321">
        <f>INT(I173*C173)</f>
        <v>0</v>
      </c>
      <c r="K173" s="321">
        <v>0</v>
      </c>
      <c r="L173" s="322">
        <f>INT(K173*C173)</f>
        <v>0</v>
      </c>
    </row>
    <row r="174" spans="1:12" ht="13.5" customHeight="1">
      <c r="A174" s="145" t="s">
        <v>173</v>
      </c>
      <c r="B174" s="319" t="s">
        <v>174</v>
      </c>
      <c r="C174" s="146">
        <v>0.03</v>
      </c>
      <c r="D174" s="320"/>
      <c r="E174" s="321">
        <f t="shared" si="32"/>
        <v>54103</v>
      </c>
      <c r="F174" s="321">
        <f t="shared" si="32"/>
        <v>1623</v>
      </c>
      <c r="G174" s="321">
        <v>0</v>
      </c>
      <c r="H174" s="321">
        <f>INT(G174*C174)</f>
        <v>0</v>
      </c>
      <c r="I174" s="321">
        <v>0</v>
      </c>
      <c r="J174" s="321">
        <f>INT(I174*C174)</f>
        <v>0</v>
      </c>
      <c r="K174" s="321">
        <f>SUM(H171:H173)</f>
        <v>54103</v>
      </c>
      <c r="L174" s="322">
        <f>INT(K174*C174)</f>
        <v>1623</v>
      </c>
    </row>
    <row r="175" spans="1:12" ht="13.5" customHeight="1">
      <c r="A175" s="145" t="s">
        <v>617</v>
      </c>
      <c r="B175" s="319"/>
      <c r="C175" s="146"/>
      <c r="D175" s="146"/>
      <c r="E175" s="321"/>
      <c r="F175" s="321">
        <f>H175+J175+L175</f>
        <v>55924</v>
      </c>
      <c r="G175" s="321"/>
      <c r="H175" s="321">
        <f>SUM(H171:H174)</f>
        <v>54103</v>
      </c>
      <c r="I175" s="321"/>
      <c r="J175" s="321">
        <f>SUM(J171:J174)</f>
        <v>198</v>
      </c>
      <c r="K175" s="321"/>
      <c r="L175" s="322">
        <f>SUM(L171:L174)</f>
        <v>1623</v>
      </c>
    </row>
    <row r="176" spans="1:12" ht="13.5" customHeight="1">
      <c r="A176" s="209"/>
      <c r="B176" s="311"/>
      <c r="C176" s="95"/>
      <c r="D176" s="95"/>
      <c r="E176" s="312">
        <f>E170+1</f>
        <v>31</v>
      </c>
      <c r="F176" s="313" t="s">
        <v>1562</v>
      </c>
      <c r="G176" s="313"/>
      <c r="H176" s="95"/>
      <c r="I176" s="313"/>
      <c r="J176" s="313" t="s">
        <v>1563</v>
      </c>
      <c r="K176" s="313"/>
      <c r="L176" s="314"/>
    </row>
    <row r="177" spans="1:12" ht="13.5" customHeight="1">
      <c r="A177" s="145" t="s">
        <v>1159</v>
      </c>
      <c r="B177" s="319"/>
      <c r="C177" s="146">
        <v>0.68</v>
      </c>
      <c r="D177" s="320" t="s">
        <v>1013</v>
      </c>
      <c r="E177" s="326">
        <f t="shared" ref="E177:F179" si="33">G177+I177+K177</f>
        <v>115909</v>
      </c>
      <c r="F177" s="326">
        <f t="shared" si="33"/>
        <v>78816</v>
      </c>
      <c r="G177" s="326">
        <f>자재일람!F3</f>
        <v>28870</v>
      </c>
      <c r="H177" s="326">
        <f>INT(G177*C177)</f>
        <v>19631</v>
      </c>
      <c r="I177" s="326">
        <f>자재일람!G3</f>
        <v>76345</v>
      </c>
      <c r="J177" s="326">
        <f>INT(I177*C177)</f>
        <v>51914</v>
      </c>
      <c r="K177" s="326">
        <f>자재일람!H3</f>
        <v>10694</v>
      </c>
      <c r="L177" s="331">
        <f>INT(K177*C177)</f>
        <v>7271</v>
      </c>
    </row>
    <row r="178" spans="1:12" ht="13.5" customHeight="1">
      <c r="A178" s="145" t="s">
        <v>175</v>
      </c>
      <c r="B178" s="319" t="s">
        <v>1564</v>
      </c>
      <c r="C178" s="150">
        <f>ROUND((0.98*1.4)/100*100,3)</f>
        <v>1.3720000000000001</v>
      </c>
      <c r="D178" s="320" t="s">
        <v>1013</v>
      </c>
      <c r="E178" s="321">
        <f t="shared" si="33"/>
        <v>34437</v>
      </c>
      <c r="F178" s="321">
        <f t="shared" si="33"/>
        <v>47246</v>
      </c>
      <c r="G178" s="321">
        <f>자재일람!F8</f>
        <v>18754</v>
      </c>
      <c r="H178" s="321">
        <f>INT(G178*C178)</f>
        <v>25730</v>
      </c>
      <c r="I178" s="321">
        <f>자재일람!G8</f>
        <v>14351</v>
      </c>
      <c r="J178" s="321">
        <f>INT(I178*C178)</f>
        <v>19689</v>
      </c>
      <c r="K178" s="321">
        <f>자재일람!H8</f>
        <v>1332</v>
      </c>
      <c r="L178" s="322">
        <f>INT(K178*C178)</f>
        <v>1827</v>
      </c>
    </row>
    <row r="179" spans="1:12" ht="13.5" customHeight="1">
      <c r="A179" s="145" t="s">
        <v>1329</v>
      </c>
      <c r="B179" s="319"/>
      <c r="C179" s="146">
        <v>1</v>
      </c>
      <c r="D179" s="320" t="s">
        <v>1328</v>
      </c>
      <c r="E179" s="321">
        <f t="shared" si="33"/>
        <v>172068</v>
      </c>
      <c r="F179" s="321">
        <f t="shared" si="33"/>
        <v>172068</v>
      </c>
      <c r="G179" s="321">
        <f>노임!D14</f>
        <v>172068</v>
      </c>
      <c r="H179" s="321">
        <f>INT(G179*C179)</f>
        <v>172068</v>
      </c>
      <c r="I179" s="321">
        <v>0</v>
      </c>
      <c r="J179" s="321">
        <f>INT(I179*C179)</f>
        <v>0</v>
      </c>
      <c r="K179" s="321">
        <v>0</v>
      </c>
      <c r="L179" s="322">
        <f>INT(K179*C179)</f>
        <v>0</v>
      </c>
    </row>
    <row r="180" spans="1:12" ht="13.5" customHeight="1">
      <c r="A180" s="145" t="s">
        <v>602</v>
      </c>
      <c r="B180" s="319"/>
      <c r="C180" s="146">
        <v>0.03</v>
      </c>
      <c r="D180" s="320" t="s">
        <v>1328</v>
      </c>
      <c r="E180" s="321">
        <f>G180+I180+K180</f>
        <v>215907</v>
      </c>
      <c r="F180" s="321">
        <f>H180+J180+L180</f>
        <v>6477</v>
      </c>
      <c r="G180" s="321">
        <f>노임!D11</f>
        <v>215907</v>
      </c>
      <c r="H180" s="321">
        <f>INT(G180*C180)</f>
        <v>6477</v>
      </c>
      <c r="I180" s="321">
        <v>0</v>
      </c>
      <c r="J180" s="321">
        <f>INT(I180*C180)</f>
        <v>0</v>
      </c>
      <c r="K180" s="321">
        <v>0</v>
      </c>
      <c r="L180" s="322">
        <f>INT(K180*C180)</f>
        <v>0</v>
      </c>
    </row>
    <row r="181" spans="1:12" ht="13.5" customHeight="1">
      <c r="A181" s="145" t="s">
        <v>617</v>
      </c>
      <c r="B181" s="319"/>
      <c r="C181" s="146"/>
      <c r="D181" s="146"/>
      <c r="E181" s="321"/>
      <c r="F181" s="321">
        <f>H181+J181+L181</f>
        <v>304607</v>
      </c>
      <c r="G181" s="321"/>
      <c r="H181" s="321">
        <f>SUM(H177:H180)</f>
        <v>223906</v>
      </c>
      <c r="I181" s="321"/>
      <c r="J181" s="321">
        <f>SUM(J177:J180)</f>
        <v>71603</v>
      </c>
      <c r="K181" s="321"/>
      <c r="L181" s="322">
        <f>SUM(L177:L180)</f>
        <v>9098</v>
      </c>
    </row>
    <row r="182" spans="1:12" ht="13.5" customHeight="1">
      <c r="A182" s="154"/>
      <c r="B182" s="327"/>
      <c r="C182" s="158"/>
      <c r="D182" s="158"/>
      <c r="E182" s="328"/>
      <c r="F182" s="328"/>
      <c r="G182" s="328"/>
      <c r="H182" s="328"/>
      <c r="I182" s="328"/>
      <c r="J182" s="328"/>
      <c r="K182" s="328"/>
      <c r="L182" s="329"/>
    </row>
    <row r="183" spans="1:12" ht="13.5" customHeight="1">
      <c r="A183" s="209"/>
      <c r="B183" s="311"/>
      <c r="C183" s="95"/>
      <c r="D183" s="95"/>
      <c r="E183" s="312">
        <f>E176+1</f>
        <v>32</v>
      </c>
      <c r="F183" s="313" t="s">
        <v>1565</v>
      </c>
      <c r="G183" s="313"/>
      <c r="H183" s="95"/>
      <c r="I183" s="313"/>
      <c r="J183" s="313" t="s">
        <v>1563</v>
      </c>
      <c r="K183" s="313"/>
      <c r="L183" s="314"/>
    </row>
    <row r="184" spans="1:12" ht="13.5" customHeight="1">
      <c r="A184" s="145" t="s">
        <v>1159</v>
      </c>
      <c r="B184" s="319"/>
      <c r="C184" s="146">
        <v>0.51</v>
      </c>
      <c r="D184" s="320" t="s">
        <v>1013</v>
      </c>
      <c r="E184" s="326">
        <f t="shared" ref="E184:F187" si="34">G184+I184+K184</f>
        <v>115909</v>
      </c>
      <c r="F184" s="326">
        <f t="shared" si="34"/>
        <v>59111</v>
      </c>
      <c r="G184" s="326">
        <f>자재일람!F3</f>
        <v>28870</v>
      </c>
      <c r="H184" s="326">
        <f>INT(G184*C184)</f>
        <v>14723</v>
      </c>
      <c r="I184" s="326">
        <f>자재일람!G3</f>
        <v>76345</v>
      </c>
      <c r="J184" s="326">
        <f>INT(I184*C184)</f>
        <v>38935</v>
      </c>
      <c r="K184" s="326">
        <f>자재일람!H3</f>
        <v>10694</v>
      </c>
      <c r="L184" s="331">
        <f>INT(K184*C184)</f>
        <v>5453</v>
      </c>
    </row>
    <row r="185" spans="1:12" ht="13.5" customHeight="1">
      <c r="A185" s="145" t="s">
        <v>175</v>
      </c>
      <c r="B185" s="319" t="str">
        <f>1.1&amp;"×"&amp;1.4</f>
        <v>1.1×1.4</v>
      </c>
      <c r="C185" s="150">
        <f>ROUND((1.1*1.4)/100*100,3)</f>
        <v>1.54</v>
      </c>
      <c r="D185" s="320" t="s">
        <v>1013</v>
      </c>
      <c r="E185" s="321">
        <f t="shared" si="34"/>
        <v>34437</v>
      </c>
      <c r="F185" s="321">
        <f t="shared" si="34"/>
        <v>53032</v>
      </c>
      <c r="G185" s="321">
        <f>자재일람!F8</f>
        <v>18754</v>
      </c>
      <c r="H185" s="321">
        <f>INT(G185*C185)</f>
        <v>28881</v>
      </c>
      <c r="I185" s="321">
        <f>자재일람!G8</f>
        <v>14351</v>
      </c>
      <c r="J185" s="321">
        <f>INT(I185*C185)</f>
        <v>22100</v>
      </c>
      <c r="K185" s="321">
        <f>자재일람!H8</f>
        <v>1332</v>
      </c>
      <c r="L185" s="322">
        <f>INT(K185*C185)</f>
        <v>2051</v>
      </c>
    </row>
    <row r="186" spans="1:12" ht="13.5" customHeight="1">
      <c r="A186" s="145" t="s">
        <v>1329</v>
      </c>
      <c r="B186" s="319"/>
      <c r="C186" s="146">
        <v>1</v>
      </c>
      <c r="D186" s="320" t="s">
        <v>1328</v>
      </c>
      <c r="E186" s="321">
        <f t="shared" si="34"/>
        <v>172068</v>
      </c>
      <c r="F186" s="321">
        <f t="shared" si="34"/>
        <v>172068</v>
      </c>
      <c r="G186" s="321">
        <f>노임!D14</f>
        <v>172068</v>
      </c>
      <c r="H186" s="321">
        <f>INT(G186*C186)</f>
        <v>172068</v>
      </c>
      <c r="I186" s="321">
        <v>0</v>
      </c>
      <c r="J186" s="321">
        <f>INT(I186*C186)</f>
        <v>0</v>
      </c>
      <c r="K186" s="321">
        <v>0</v>
      </c>
      <c r="L186" s="322">
        <f>INT(K186*C186)</f>
        <v>0</v>
      </c>
    </row>
    <row r="187" spans="1:12" ht="13.5" customHeight="1">
      <c r="A187" s="145" t="s">
        <v>602</v>
      </c>
      <c r="B187" s="319"/>
      <c r="C187" s="146">
        <v>0.03</v>
      </c>
      <c r="D187" s="320" t="s">
        <v>1328</v>
      </c>
      <c r="E187" s="321">
        <f t="shared" si="34"/>
        <v>215907</v>
      </c>
      <c r="F187" s="321">
        <f t="shared" si="34"/>
        <v>6477</v>
      </c>
      <c r="G187" s="321">
        <f>노임!D11</f>
        <v>215907</v>
      </c>
      <c r="H187" s="321">
        <f>INT(G187*C187)</f>
        <v>6477</v>
      </c>
      <c r="I187" s="321">
        <v>0</v>
      </c>
      <c r="J187" s="321">
        <f>INT(I187*C187)</f>
        <v>0</v>
      </c>
      <c r="K187" s="321">
        <v>0</v>
      </c>
      <c r="L187" s="322">
        <f>INT(K187*C187)</f>
        <v>0</v>
      </c>
    </row>
    <row r="188" spans="1:12" ht="13.5" customHeight="1">
      <c r="A188" s="145" t="s">
        <v>617</v>
      </c>
      <c r="B188" s="319"/>
      <c r="C188" s="146"/>
      <c r="D188" s="146"/>
      <c r="E188" s="321"/>
      <c r="F188" s="321">
        <f>H188+J188+L188</f>
        <v>290688</v>
      </c>
      <c r="G188" s="321"/>
      <c r="H188" s="321">
        <f>SUM(H184:H187)</f>
        <v>222149</v>
      </c>
      <c r="I188" s="321"/>
      <c r="J188" s="321">
        <f>SUM(J184:J187)</f>
        <v>61035</v>
      </c>
      <c r="K188" s="321"/>
      <c r="L188" s="322">
        <f>SUM(L184:L187)</f>
        <v>7504</v>
      </c>
    </row>
    <row r="189" spans="1:12" ht="13.5" customHeight="1">
      <c r="A189" s="209"/>
      <c r="B189" s="311"/>
      <c r="C189" s="95"/>
      <c r="D189" s="95"/>
      <c r="E189" s="312">
        <f>E183+1</f>
        <v>33</v>
      </c>
      <c r="F189" s="313" t="s">
        <v>1566</v>
      </c>
      <c r="G189" s="313"/>
      <c r="H189" s="95"/>
      <c r="I189" s="313"/>
      <c r="J189" s="313" t="s">
        <v>643</v>
      </c>
      <c r="K189" s="313"/>
      <c r="L189" s="314"/>
    </row>
    <row r="190" spans="1:12" ht="13.5" customHeight="1">
      <c r="A190" s="145" t="s">
        <v>1159</v>
      </c>
      <c r="B190" s="319"/>
      <c r="C190" s="146">
        <v>0.51</v>
      </c>
      <c r="D190" s="320" t="s">
        <v>1013</v>
      </c>
      <c r="E190" s="326">
        <f t="shared" ref="E190:F194" si="35">G190+I190+K190</f>
        <v>115909</v>
      </c>
      <c r="F190" s="326">
        <f t="shared" si="35"/>
        <v>59111</v>
      </c>
      <c r="G190" s="326">
        <f>자재일람!F3</f>
        <v>28870</v>
      </c>
      <c r="H190" s="326">
        <f>INT(G190*C190)</f>
        <v>14723</v>
      </c>
      <c r="I190" s="326">
        <f>자재일람!G3</f>
        <v>76345</v>
      </c>
      <c r="J190" s="326">
        <f>INT(I190*C190)</f>
        <v>38935</v>
      </c>
      <c r="K190" s="326">
        <f>자재일람!H3</f>
        <v>10694</v>
      </c>
      <c r="L190" s="331">
        <f>INT(K190*C190)</f>
        <v>5453</v>
      </c>
    </row>
    <row r="191" spans="1:12" ht="13.5" customHeight="1">
      <c r="A191" s="145" t="s">
        <v>175</v>
      </c>
      <c r="B191" s="319" t="str">
        <f>1.1&amp;"×"&amp;1.4</f>
        <v>1.1×1.4</v>
      </c>
      <c r="C191" s="150">
        <f>ROUND((1.1*1.4)/100*100,3)</f>
        <v>1.54</v>
      </c>
      <c r="D191" s="320" t="s">
        <v>1013</v>
      </c>
      <c r="E191" s="321">
        <f t="shared" si="35"/>
        <v>34437</v>
      </c>
      <c r="F191" s="321">
        <f t="shared" si="35"/>
        <v>53032</v>
      </c>
      <c r="G191" s="321">
        <f>자재일람!F8</f>
        <v>18754</v>
      </c>
      <c r="H191" s="321">
        <f>INT(G191*C191)</f>
        <v>28881</v>
      </c>
      <c r="I191" s="321">
        <f>자재일람!G8</f>
        <v>14351</v>
      </c>
      <c r="J191" s="321">
        <f>INT(I191*C191)</f>
        <v>22100</v>
      </c>
      <c r="K191" s="321">
        <f>자재일람!H8</f>
        <v>1332</v>
      </c>
      <c r="L191" s="322">
        <f>INT(K191*C191)</f>
        <v>2051</v>
      </c>
    </row>
    <row r="192" spans="1:12" ht="13.5" customHeight="1">
      <c r="A192" s="145" t="s">
        <v>1329</v>
      </c>
      <c r="B192" s="319"/>
      <c r="C192" s="146">
        <v>1.2</v>
      </c>
      <c r="D192" s="320" t="s">
        <v>1328</v>
      </c>
      <c r="E192" s="321">
        <f t="shared" si="35"/>
        <v>172068</v>
      </c>
      <c r="F192" s="321">
        <f t="shared" si="35"/>
        <v>206481</v>
      </c>
      <c r="G192" s="321">
        <f>노임!D14</f>
        <v>172068</v>
      </c>
      <c r="H192" s="321">
        <f>INT(G192*C192)</f>
        <v>206481</v>
      </c>
      <c r="I192" s="321">
        <v>0</v>
      </c>
      <c r="J192" s="321">
        <f>INT(I192*C192)</f>
        <v>0</v>
      </c>
      <c r="K192" s="321">
        <v>0</v>
      </c>
      <c r="L192" s="322">
        <f>INT(K192*C192)</f>
        <v>0</v>
      </c>
    </row>
    <row r="193" spans="1:12" ht="13.5" customHeight="1">
      <c r="A193" s="145" t="s">
        <v>602</v>
      </c>
      <c r="B193" s="319"/>
      <c r="C193" s="146">
        <v>0.04</v>
      </c>
      <c r="D193" s="320" t="s">
        <v>1328</v>
      </c>
      <c r="E193" s="321">
        <f t="shared" si="35"/>
        <v>215907</v>
      </c>
      <c r="F193" s="321">
        <f t="shared" si="35"/>
        <v>8636</v>
      </c>
      <c r="G193" s="321">
        <f>노임!D11</f>
        <v>215907</v>
      </c>
      <c r="H193" s="321">
        <f>INT(G193*C193)</f>
        <v>8636</v>
      </c>
      <c r="I193" s="321">
        <v>0</v>
      </c>
      <c r="J193" s="321">
        <f>INT(I193*C193)</f>
        <v>0</v>
      </c>
      <c r="K193" s="321">
        <v>0</v>
      </c>
      <c r="L193" s="322">
        <f>INT(K193*C193)</f>
        <v>0</v>
      </c>
    </row>
    <row r="194" spans="1:12" ht="13.5" customHeight="1">
      <c r="A194" s="145" t="s">
        <v>888</v>
      </c>
      <c r="B194" s="319"/>
      <c r="C194" s="146">
        <v>13.6</v>
      </c>
      <c r="D194" s="320" t="s">
        <v>451</v>
      </c>
      <c r="E194" s="326">
        <f t="shared" si="35"/>
        <v>250</v>
      </c>
      <c r="F194" s="326">
        <f t="shared" si="35"/>
        <v>3400</v>
      </c>
      <c r="G194" s="326">
        <v>0</v>
      </c>
      <c r="H194" s="326">
        <f>INT(G194*C194)</f>
        <v>0</v>
      </c>
      <c r="I194" s="326">
        <f>자재!F45</f>
        <v>250</v>
      </c>
      <c r="J194" s="326">
        <f>INT(I194*C194)</f>
        <v>3400</v>
      </c>
      <c r="K194" s="326">
        <v>0</v>
      </c>
      <c r="L194" s="331">
        <f>INT(K194*C194)</f>
        <v>0</v>
      </c>
    </row>
    <row r="195" spans="1:12" ht="13.5" customHeight="1">
      <c r="A195" s="145" t="s">
        <v>617</v>
      </c>
      <c r="B195" s="319"/>
      <c r="C195" s="146"/>
      <c r="D195" s="146"/>
      <c r="E195" s="321"/>
      <c r="F195" s="321">
        <f>H195+J195+L195</f>
        <v>330660</v>
      </c>
      <c r="G195" s="321"/>
      <c r="H195" s="321">
        <f>SUM(H190:H194)</f>
        <v>258721</v>
      </c>
      <c r="I195" s="321"/>
      <c r="J195" s="321">
        <f>SUM(J190:J194)</f>
        <v>64435</v>
      </c>
      <c r="K195" s="321"/>
      <c r="L195" s="322">
        <f>SUM(L190:L194)</f>
        <v>7504</v>
      </c>
    </row>
    <row r="196" spans="1:12" ht="13.5" customHeight="1">
      <c r="A196" s="209"/>
      <c r="B196" s="311"/>
      <c r="C196" s="95"/>
      <c r="D196" s="95"/>
      <c r="E196" s="312">
        <f>E189+1</f>
        <v>34</v>
      </c>
      <c r="F196" s="313" t="s">
        <v>2331</v>
      </c>
      <c r="G196" s="313"/>
      <c r="H196" s="95"/>
      <c r="I196" s="313"/>
      <c r="J196" s="313" t="s">
        <v>519</v>
      </c>
      <c r="K196" s="313"/>
      <c r="L196" s="314"/>
    </row>
    <row r="197" spans="1:12" ht="13.5" customHeight="1">
      <c r="A197" s="145" t="s">
        <v>593</v>
      </c>
      <c r="B197" s="319"/>
      <c r="C197" s="146">
        <v>7.0000000000000007E-2</v>
      </c>
      <c r="D197" s="320" t="s">
        <v>1328</v>
      </c>
      <c r="E197" s="321">
        <f t="shared" ref="E197:F200" si="36">G197+I197+K197</f>
        <v>266361</v>
      </c>
      <c r="F197" s="321">
        <f t="shared" si="36"/>
        <v>18645</v>
      </c>
      <c r="G197" s="321">
        <f>노임!D3</f>
        <v>266361</v>
      </c>
      <c r="H197" s="321">
        <f>INT(G197*C197)</f>
        <v>18645</v>
      </c>
      <c r="I197" s="321">
        <v>0</v>
      </c>
      <c r="J197" s="321">
        <f>INT(I197*C197)</f>
        <v>0</v>
      </c>
      <c r="K197" s="321">
        <v>0</v>
      </c>
      <c r="L197" s="322">
        <f>INT(K197*C197)</f>
        <v>0</v>
      </c>
    </row>
    <row r="198" spans="1:12" ht="13.5" customHeight="1">
      <c r="A198" s="145" t="s">
        <v>2263</v>
      </c>
      <c r="B198" s="319"/>
      <c r="C198" s="146">
        <v>0.02</v>
      </c>
      <c r="D198" s="320" t="s">
        <v>1328</v>
      </c>
      <c r="E198" s="321">
        <f t="shared" si="36"/>
        <v>172068</v>
      </c>
      <c r="F198" s="321">
        <f t="shared" si="36"/>
        <v>3441</v>
      </c>
      <c r="G198" s="321">
        <f>노임!D14</f>
        <v>172068</v>
      </c>
      <c r="H198" s="321">
        <f>INT(G198*C198)</f>
        <v>3441</v>
      </c>
      <c r="I198" s="321">
        <v>0</v>
      </c>
      <c r="J198" s="321">
        <f>INT(I198*C198)</f>
        <v>0</v>
      </c>
      <c r="K198" s="321">
        <v>0</v>
      </c>
      <c r="L198" s="322">
        <f>INT(K198*C198)</f>
        <v>0</v>
      </c>
    </row>
    <row r="199" spans="1:12" ht="13.5" customHeight="1">
      <c r="A199" s="145" t="s">
        <v>176</v>
      </c>
      <c r="B199" s="319" t="s">
        <v>1567</v>
      </c>
      <c r="C199" s="146">
        <v>1</v>
      </c>
      <c r="D199" s="320" t="s">
        <v>1014</v>
      </c>
      <c r="E199" s="326">
        <f t="shared" si="36"/>
        <v>247</v>
      </c>
      <c r="F199" s="326">
        <f t="shared" si="36"/>
        <v>247</v>
      </c>
      <c r="G199" s="326">
        <f>기초단위당!H14</f>
        <v>0</v>
      </c>
      <c r="H199" s="326">
        <f>INT(G199*C199)</f>
        <v>0</v>
      </c>
      <c r="I199" s="326">
        <f>기초단위당!I14</f>
        <v>233</v>
      </c>
      <c r="J199" s="321">
        <f>INT(I199*C199)</f>
        <v>233</v>
      </c>
      <c r="K199" s="321">
        <f>기초단위당!J14</f>
        <v>14</v>
      </c>
      <c r="L199" s="322">
        <f>INT(K199*C199)</f>
        <v>14</v>
      </c>
    </row>
    <row r="200" spans="1:12" ht="13.5" customHeight="1">
      <c r="A200" s="145" t="s">
        <v>2264</v>
      </c>
      <c r="B200" s="319" t="s">
        <v>123</v>
      </c>
      <c r="C200" s="147">
        <v>0.1</v>
      </c>
      <c r="D200" s="320" t="s">
        <v>2265</v>
      </c>
      <c r="E200" s="326">
        <f t="shared" si="36"/>
        <v>100038</v>
      </c>
      <c r="F200" s="326">
        <f t="shared" si="36"/>
        <v>10002</v>
      </c>
      <c r="G200" s="326">
        <f>중기일람!D7</f>
        <v>57077</v>
      </c>
      <c r="H200" s="326">
        <f>INT(G200*C200)</f>
        <v>5707</v>
      </c>
      <c r="I200" s="326">
        <f>중기일람!E7</f>
        <v>21629</v>
      </c>
      <c r="J200" s="321">
        <f>INT(I200*C200)</f>
        <v>2162</v>
      </c>
      <c r="K200" s="321">
        <f>중기일람!F7</f>
        <v>21332</v>
      </c>
      <c r="L200" s="322">
        <f>INT(K200*C200)</f>
        <v>2133</v>
      </c>
    </row>
    <row r="201" spans="1:12" ht="13.5" customHeight="1">
      <c r="A201" s="145" t="s">
        <v>617</v>
      </c>
      <c r="B201" s="319"/>
      <c r="C201" s="146"/>
      <c r="D201" s="146"/>
      <c r="E201" s="321"/>
      <c r="F201" s="321">
        <f>H201+J201+L201</f>
        <v>32335</v>
      </c>
      <c r="G201" s="321"/>
      <c r="H201" s="321">
        <f>SUM(H197:H200)</f>
        <v>27793</v>
      </c>
      <c r="I201" s="321"/>
      <c r="J201" s="321">
        <f>SUM(J197:J200)</f>
        <v>2395</v>
      </c>
      <c r="K201" s="321"/>
      <c r="L201" s="322">
        <f>SUM(L197:L200)</f>
        <v>2147</v>
      </c>
    </row>
    <row r="202" spans="1:12" ht="13.5" customHeight="1">
      <c r="A202" s="209"/>
      <c r="B202" s="311"/>
      <c r="C202" s="95"/>
      <c r="D202" s="95"/>
      <c r="E202" s="312">
        <f>E196+1</f>
        <v>35</v>
      </c>
      <c r="F202" s="313" t="s">
        <v>2332</v>
      </c>
      <c r="G202" s="313"/>
      <c r="H202" s="95"/>
      <c r="I202" s="313"/>
      <c r="J202" s="313" t="s">
        <v>519</v>
      </c>
      <c r="K202" s="313"/>
      <c r="L202" s="314"/>
    </row>
    <row r="203" spans="1:12" ht="13.5" customHeight="1">
      <c r="A203" s="145" t="s">
        <v>593</v>
      </c>
      <c r="B203" s="319"/>
      <c r="C203" s="146">
        <v>0.06</v>
      </c>
      <c r="D203" s="320" t="s">
        <v>1328</v>
      </c>
      <c r="E203" s="321">
        <f t="shared" ref="E203:F206" si="37">G203+I203+K203</f>
        <v>266361</v>
      </c>
      <c r="F203" s="321">
        <f t="shared" si="37"/>
        <v>15981</v>
      </c>
      <c r="G203" s="321">
        <f>노임!D3</f>
        <v>266361</v>
      </c>
      <c r="H203" s="321">
        <f>INT(G203*C203)</f>
        <v>15981</v>
      </c>
      <c r="I203" s="321">
        <v>0</v>
      </c>
      <c r="J203" s="321">
        <f>INT(I203*C203)</f>
        <v>0</v>
      </c>
      <c r="K203" s="321">
        <v>0</v>
      </c>
      <c r="L203" s="322">
        <f>INT(K203*C203)</f>
        <v>0</v>
      </c>
    </row>
    <row r="204" spans="1:12" ht="13.5" customHeight="1">
      <c r="A204" s="145" t="s">
        <v>2263</v>
      </c>
      <c r="B204" s="319"/>
      <c r="C204" s="146">
        <v>0.02</v>
      </c>
      <c r="D204" s="320" t="s">
        <v>1328</v>
      </c>
      <c r="E204" s="321">
        <f t="shared" si="37"/>
        <v>172068</v>
      </c>
      <c r="F204" s="321">
        <f t="shared" si="37"/>
        <v>3441</v>
      </c>
      <c r="G204" s="321">
        <f>노임!D14</f>
        <v>172068</v>
      </c>
      <c r="H204" s="321">
        <f>INT(G204*C204)</f>
        <v>3441</v>
      </c>
      <c r="I204" s="321">
        <v>0</v>
      </c>
      <c r="J204" s="321">
        <f>INT(I204*C204)</f>
        <v>0</v>
      </c>
      <c r="K204" s="321">
        <v>0</v>
      </c>
      <c r="L204" s="322">
        <f>INT(K204*C204)</f>
        <v>0</v>
      </c>
    </row>
    <row r="205" spans="1:12" ht="13.5" customHeight="1">
      <c r="A205" s="145" t="s">
        <v>176</v>
      </c>
      <c r="B205" s="319" t="s">
        <v>1567</v>
      </c>
      <c r="C205" s="146">
        <v>1</v>
      </c>
      <c r="D205" s="320" t="s">
        <v>1014</v>
      </c>
      <c r="E205" s="326">
        <f t="shared" si="37"/>
        <v>247</v>
      </c>
      <c r="F205" s="326">
        <f t="shared" si="37"/>
        <v>247</v>
      </c>
      <c r="G205" s="326">
        <f>기초단위당!H14</f>
        <v>0</v>
      </c>
      <c r="H205" s="326">
        <f>INT(G205*C205)</f>
        <v>0</v>
      </c>
      <c r="I205" s="326">
        <f>I199</f>
        <v>233</v>
      </c>
      <c r="J205" s="321">
        <f>INT(I205*C205)</f>
        <v>233</v>
      </c>
      <c r="K205" s="321">
        <f>K199</f>
        <v>14</v>
      </c>
      <c r="L205" s="322">
        <f>INT(K205*C205)</f>
        <v>14</v>
      </c>
    </row>
    <row r="206" spans="1:12" ht="13.5" customHeight="1">
      <c r="A206" s="145" t="s">
        <v>2264</v>
      </c>
      <c r="B206" s="319" t="s">
        <v>123</v>
      </c>
      <c r="C206" s="146">
        <v>0.09</v>
      </c>
      <c r="D206" s="320" t="s">
        <v>2265</v>
      </c>
      <c r="E206" s="326">
        <f t="shared" si="37"/>
        <v>100038</v>
      </c>
      <c r="F206" s="326">
        <f t="shared" si="37"/>
        <v>9001</v>
      </c>
      <c r="G206" s="326">
        <f>G200</f>
        <v>57077</v>
      </c>
      <c r="H206" s="326">
        <f>INT(G206*C206)</f>
        <v>5136</v>
      </c>
      <c r="I206" s="326">
        <f>I200</f>
        <v>21629</v>
      </c>
      <c r="J206" s="321">
        <f>INT(I206*C206)</f>
        <v>1946</v>
      </c>
      <c r="K206" s="321">
        <f>K200</f>
        <v>21332</v>
      </c>
      <c r="L206" s="322">
        <f>INT(K206*C206)</f>
        <v>1919</v>
      </c>
    </row>
    <row r="207" spans="1:12" ht="13.5" customHeight="1">
      <c r="A207" s="145" t="s">
        <v>617</v>
      </c>
      <c r="B207" s="319"/>
      <c r="C207" s="146"/>
      <c r="D207" s="146"/>
      <c r="E207" s="321"/>
      <c r="F207" s="321">
        <f>H207+J207+L207</f>
        <v>28670</v>
      </c>
      <c r="G207" s="321"/>
      <c r="H207" s="321">
        <f>SUM(H203:H206)</f>
        <v>24558</v>
      </c>
      <c r="I207" s="321"/>
      <c r="J207" s="321">
        <f>SUM(J203:J206)</f>
        <v>2179</v>
      </c>
      <c r="K207" s="321"/>
      <c r="L207" s="321">
        <f>SUM(L203:L206)</f>
        <v>1933</v>
      </c>
    </row>
    <row r="208" spans="1:12" ht="13.5" customHeight="1">
      <c r="A208" s="209"/>
      <c r="B208" s="311"/>
      <c r="C208" s="95"/>
      <c r="D208" s="95"/>
      <c r="E208" s="312">
        <f>E202+1</f>
        <v>36</v>
      </c>
      <c r="F208" s="313" t="s">
        <v>2333</v>
      </c>
      <c r="G208" s="313"/>
      <c r="H208" s="95"/>
      <c r="I208" s="313"/>
      <c r="J208" s="313" t="s">
        <v>519</v>
      </c>
      <c r="K208" s="313"/>
      <c r="L208" s="314"/>
    </row>
    <row r="209" spans="1:12" ht="13.5" customHeight="1">
      <c r="A209" s="145" t="s">
        <v>593</v>
      </c>
      <c r="B209" s="319"/>
      <c r="C209" s="146">
        <v>0.09</v>
      </c>
      <c r="D209" s="320" t="s">
        <v>1328</v>
      </c>
      <c r="E209" s="321">
        <f t="shared" ref="E209:F212" si="38">G209+I209+K209</f>
        <v>266361</v>
      </c>
      <c r="F209" s="321">
        <f t="shared" si="38"/>
        <v>23972</v>
      </c>
      <c r="G209" s="321">
        <f>노임!D3</f>
        <v>266361</v>
      </c>
      <c r="H209" s="321">
        <f>INT(G209*C209)</f>
        <v>23972</v>
      </c>
      <c r="I209" s="321">
        <v>0</v>
      </c>
      <c r="J209" s="321">
        <f>INT(I209*C209)</f>
        <v>0</v>
      </c>
      <c r="K209" s="321">
        <v>0</v>
      </c>
      <c r="L209" s="322">
        <f>INT(K209*C209)</f>
        <v>0</v>
      </c>
    </row>
    <row r="210" spans="1:12" ht="13.5" customHeight="1">
      <c r="A210" s="145" t="s">
        <v>615</v>
      </c>
      <c r="B210" s="319"/>
      <c r="C210" s="146">
        <v>0.02</v>
      </c>
      <c r="D210" s="320" t="s">
        <v>1328</v>
      </c>
      <c r="E210" s="321">
        <f t="shared" si="38"/>
        <v>172068</v>
      </c>
      <c r="F210" s="321">
        <f t="shared" si="38"/>
        <v>3441</v>
      </c>
      <c r="G210" s="321">
        <f>노임!D14</f>
        <v>172068</v>
      </c>
      <c r="H210" s="321">
        <f>INT(G210*C210)</f>
        <v>3441</v>
      </c>
      <c r="I210" s="321">
        <v>0</v>
      </c>
      <c r="J210" s="321">
        <f>INT(I210*C210)</f>
        <v>0</v>
      </c>
      <c r="K210" s="321">
        <v>0</v>
      </c>
      <c r="L210" s="322">
        <f>INT(K210*C210)</f>
        <v>0</v>
      </c>
    </row>
    <row r="211" spans="1:12" ht="13.5" customHeight="1">
      <c r="A211" s="145" t="s">
        <v>176</v>
      </c>
      <c r="B211" s="319" t="s">
        <v>1567</v>
      </c>
      <c r="C211" s="146">
        <v>1</v>
      </c>
      <c r="D211" s="320" t="s">
        <v>1014</v>
      </c>
      <c r="E211" s="326">
        <f t="shared" si="38"/>
        <v>247</v>
      </c>
      <c r="F211" s="326">
        <f t="shared" si="38"/>
        <v>247</v>
      </c>
      <c r="G211" s="326">
        <f>기초단위당!H12</f>
        <v>0</v>
      </c>
      <c r="H211" s="326">
        <f>INT(G211*C211)</f>
        <v>0</v>
      </c>
      <c r="I211" s="326">
        <f>I199</f>
        <v>233</v>
      </c>
      <c r="J211" s="321">
        <f>INT(I211*C211)</f>
        <v>233</v>
      </c>
      <c r="K211" s="321">
        <f>K199</f>
        <v>14</v>
      </c>
      <c r="L211" s="322">
        <f>INT(K211*C211)</f>
        <v>14</v>
      </c>
    </row>
    <row r="212" spans="1:12" ht="13.5" customHeight="1">
      <c r="A212" s="145" t="s">
        <v>2264</v>
      </c>
      <c r="B212" s="319" t="s">
        <v>123</v>
      </c>
      <c r="C212" s="146">
        <v>0.31</v>
      </c>
      <c r="D212" s="320" t="s">
        <v>2265</v>
      </c>
      <c r="E212" s="326">
        <f t="shared" si="38"/>
        <v>100038</v>
      </c>
      <c r="F212" s="326">
        <f t="shared" si="38"/>
        <v>31009</v>
      </c>
      <c r="G212" s="326">
        <f>G200</f>
        <v>57077</v>
      </c>
      <c r="H212" s="326">
        <f>INT(G212*C212)</f>
        <v>17693</v>
      </c>
      <c r="I212" s="326">
        <f>I200</f>
        <v>21629</v>
      </c>
      <c r="J212" s="321">
        <f>INT(I212*C212)</f>
        <v>6704</v>
      </c>
      <c r="K212" s="321">
        <f>K200</f>
        <v>21332</v>
      </c>
      <c r="L212" s="322">
        <f>INT(K212*C212)</f>
        <v>6612</v>
      </c>
    </row>
    <row r="213" spans="1:12" ht="13.5" customHeight="1">
      <c r="A213" s="145" t="s">
        <v>617</v>
      </c>
      <c r="B213" s="319"/>
      <c r="C213" s="146"/>
      <c r="D213" s="146"/>
      <c r="E213" s="321"/>
      <c r="F213" s="321">
        <f>H213+J213+L213</f>
        <v>58669</v>
      </c>
      <c r="G213" s="321"/>
      <c r="H213" s="321">
        <f>SUM(H209:H212)</f>
        <v>45106</v>
      </c>
      <c r="I213" s="321"/>
      <c r="J213" s="321">
        <f>SUM(J209:J212)</f>
        <v>6937</v>
      </c>
      <c r="K213" s="321"/>
      <c r="L213" s="322">
        <f>SUM(L209:L212)</f>
        <v>6626</v>
      </c>
    </row>
    <row r="214" spans="1:12" ht="13.5" customHeight="1">
      <c r="A214" s="209"/>
      <c r="B214" s="311"/>
      <c r="C214" s="95"/>
      <c r="D214" s="95"/>
      <c r="E214" s="312">
        <f>E208+1</f>
        <v>37</v>
      </c>
      <c r="F214" s="313" t="s">
        <v>1570</v>
      </c>
      <c r="G214" s="313"/>
      <c r="H214" s="95"/>
      <c r="I214" s="313"/>
      <c r="J214" s="313" t="s">
        <v>519</v>
      </c>
      <c r="K214" s="313"/>
      <c r="L214" s="314"/>
    </row>
    <row r="215" spans="1:12" ht="13.5" customHeight="1">
      <c r="A215" s="145" t="s">
        <v>593</v>
      </c>
      <c r="B215" s="319"/>
      <c r="C215" s="146">
        <v>0.15</v>
      </c>
      <c r="D215" s="320" t="s">
        <v>1328</v>
      </c>
      <c r="E215" s="321">
        <f>G215+I215+K215</f>
        <v>266361</v>
      </c>
      <c r="F215" s="321">
        <f>H215+J215+L215</f>
        <v>39954</v>
      </c>
      <c r="G215" s="321">
        <f>노임!D3</f>
        <v>266361</v>
      </c>
      <c r="H215" s="321">
        <f>INT(G215*C215)</f>
        <v>39954</v>
      </c>
      <c r="I215" s="321">
        <v>0</v>
      </c>
      <c r="J215" s="321">
        <f>INT(I215*C215)</f>
        <v>0</v>
      </c>
      <c r="K215" s="321">
        <v>0</v>
      </c>
      <c r="L215" s="322">
        <f>INT(K215*C215)</f>
        <v>0</v>
      </c>
    </row>
    <row r="216" spans="1:12" ht="13.5" customHeight="1">
      <c r="A216" s="145" t="s">
        <v>615</v>
      </c>
      <c r="B216" s="319"/>
      <c r="C216" s="146">
        <v>0.27</v>
      </c>
      <c r="D216" s="320" t="s">
        <v>1328</v>
      </c>
      <c r="E216" s="321">
        <f>G216+I216+K216</f>
        <v>172068</v>
      </c>
      <c r="F216" s="321">
        <f>H216+J216+L216</f>
        <v>46458</v>
      </c>
      <c r="G216" s="321">
        <f>노임!D14</f>
        <v>172068</v>
      </c>
      <c r="H216" s="321">
        <f>INT(G216*C216)</f>
        <v>46458</v>
      </c>
      <c r="I216" s="321">
        <v>0</v>
      </c>
      <c r="J216" s="321">
        <f>INT(I216*C216)</f>
        <v>0</v>
      </c>
      <c r="K216" s="321">
        <v>0</v>
      </c>
      <c r="L216" s="322">
        <f>INT(K216*C216)</f>
        <v>0</v>
      </c>
    </row>
    <row r="217" spans="1:12" ht="13.5" customHeight="1">
      <c r="A217" s="145" t="s">
        <v>617</v>
      </c>
      <c r="B217" s="319"/>
      <c r="C217" s="146"/>
      <c r="D217" s="146"/>
      <c r="E217" s="321"/>
      <c r="F217" s="321">
        <f>H217+J217+L217</f>
        <v>86412</v>
      </c>
      <c r="G217" s="321"/>
      <c r="H217" s="321">
        <f>SUM(H215:H216)</f>
        <v>86412</v>
      </c>
      <c r="I217" s="321"/>
      <c r="J217" s="321">
        <f>SUM(J215:J216)</f>
        <v>0</v>
      </c>
      <c r="K217" s="321"/>
      <c r="L217" s="322">
        <f>SUM(L215:L216)</f>
        <v>0</v>
      </c>
    </row>
    <row r="218" spans="1:12" ht="13.5" customHeight="1">
      <c r="A218" s="209"/>
      <c r="B218" s="311"/>
      <c r="C218" s="95"/>
      <c r="D218" s="95"/>
      <c r="E218" s="312">
        <f>E214+1</f>
        <v>38</v>
      </c>
      <c r="F218" s="313" t="s">
        <v>1571</v>
      </c>
      <c r="G218" s="313"/>
      <c r="H218" s="95"/>
      <c r="I218" s="313"/>
      <c r="J218" s="313" t="s">
        <v>519</v>
      </c>
      <c r="K218" s="313"/>
      <c r="L218" s="314"/>
    </row>
    <row r="219" spans="1:12" ht="13.5" customHeight="1">
      <c r="A219" s="145" t="s">
        <v>593</v>
      </c>
      <c r="B219" s="319"/>
      <c r="C219" s="146">
        <v>0.24</v>
      </c>
      <c r="D219" s="320" t="s">
        <v>1328</v>
      </c>
      <c r="E219" s="321">
        <f>G219+I219+K219</f>
        <v>266361</v>
      </c>
      <c r="F219" s="321">
        <f>H219+J219+L219</f>
        <v>63926</v>
      </c>
      <c r="G219" s="321">
        <f>노임!D3</f>
        <v>266361</v>
      </c>
      <c r="H219" s="321">
        <f>INT(G219*C219)</f>
        <v>63926</v>
      </c>
      <c r="I219" s="321">
        <v>0</v>
      </c>
      <c r="J219" s="321">
        <f>INT(I219*C219)</f>
        <v>0</v>
      </c>
      <c r="K219" s="321">
        <v>0</v>
      </c>
      <c r="L219" s="322">
        <f>INT(K219*C219)</f>
        <v>0</v>
      </c>
    </row>
    <row r="220" spans="1:12" ht="13.5" customHeight="1">
      <c r="A220" s="145" t="s">
        <v>615</v>
      </c>
      <c r="B220" s="319"/>
      <c r="C220" s="146">
        <v>0.42</v>
      </c>
      <c r="D220" s="320" t="s">
        <v>1328</v>
      </c>
      <c r="E220" s="321">
        <f>G220+I220+K220</f>
        <v>172068</v>
      </c>
      <c r="F220" s="321">
        <f>H220+J220+L220</f>
        <v>72268</v>
      </c>
      <c r="G220" s="321">
        <f>노임!D14</f>
        <v>172068</v>
      </c>
      <c r="H220" s="321">
        <f>INT(G220*C220)</f>
        <v>72268</v>
      </c>
      <c r="I220" s="321">
        <v>0</v>
      </c>
      <c r="J220" s="321">
        <f>INT(I220*C220)</f>
        <v>0</v>
      </c>
      <c r="K220" s="321">
        <v>0</v>
      </c>
      <c r="L220" s="322">
        <f>INT(K220*C220)</f>
        <v>0</v>
      </c>
    </row>
    <row r="221" spans="1:12" ht="13.5" customHeight="1">
      <c r="A221" s="145" t="s">
        <v>617</v>
      </c>
      <c r="B221" s="319"/>
      <c r="C221" s="146"/>
      <c r="D221" s="146"/>
      <c r="E221" s="321"/>
      <c r="F221" s="321">
        <f>H221+J221+L221</f>
        <v>136194</v>
      </c>
      <c r="G221" s="321"/>
      <c r="H221" s="321">
        <f>SUM(H219:H220)</f>
        <v>136194</v>
      </c>
      <c r="I221" s="321"/>
      <c r="J221" s="321">
        <f>SUM(J219:J220)</f>
        <v>0</v>
      </c>
      <c r="K221" s="321"/>
      <c r="L221" s="322">
        <f>SUM(L219:L220)</f>
        <v>0</v>
      </c>
    </row>
    <row r="222" spans="1:12" ht="13.5" customHeight="1">
      <c r="A222" s="209"/>
      <c r="B222" s="311"/>
      <c r="C222" s="95"/>
      <c r="D222" s="95"/>
      <c r="E222" s="312">
        <f>E218+1</f>
        <v>39</v>
      </c>
      <c r="F222" s="313" t="s">
        <v>1572</v>
      </c>
      <c r="G222" s="313"/>
      <c r="H222" s="95"/>
      <c r="I222" s="313"/>
      <c r="J222" s="313" t="s">
        <v>519</v>
      </c>
      <c r="K222" s="313"/>
      <c r="L222" s="314"/>
    </row>
    <row r="223" spans="1:12" ht="13.5" customHeight="1">
      <c r="A223" s="145" t="s">
        <v>412</v>
      </c>
      <c r="B223" s="332" t="s">
        <v>522</v>
      </c>
      <c r="C223" s="146">
        <v>1</v>
      </c>
      <c r="D223" s="320" t="s">
        <v>1014</v>
      </c>
      <c r="E223" s="333">
        <f>G223+I223+K223</f>
        <v>495</v>
      </c>
      <c r="F223" s="333">
        <f>H223+J223+L223</f>
        <v>495</v>
      </c>
      <c r="G223" s="333">
        <f>기초단위당!H12</f>
        <v>0</v>
      </c>
      <c r="H223" s="333">
        <f>INT(G223*C223)</f>
        <v>0</v>
      </c>
      <c r="I223" s="333">
        <f>기초단위당!I12</f>
        <v>466</v>
      </c>
      <c r="J223" s="333">
        <f>INT(I223*C223)</f>
        <v>466</v>
      </c>
      <c r="K223" s="333">
        <f>기초단위당!J12</f>
        <v>29</v>
      </c>
      <c r="L223" s="334">
        <f>INT(K223*C223)</f>
        <v>29</v>
      </c>
    </row>
    <row r="224" spans="1:12" ht="13.5" customHeight="1">
      <c r="A224" s="145" t="s">
        <v>412</v>
      </c>
      <c r="B224" s="332" t="s">
        <v>1400</v>
      </c>
      <c r="C224" s="146">
        <v>1</v>
      </c>
      <c r="D224" s="320" t="s">
        <v>1014</v>
      </c>
      <c r="E224" s="333">
        <f>G224+I224+K224</f>
        <v>20</v>
      </c>
      <c r="F224" s="333">
        <f>H224+J224+L224</f>
        <v>20</v>
      </c>
      <c r="G224" s="333"/>
      <c r="H224" s="333">
        <f>INT(G224*C224)</f>
        <v>0</v>
      </c>
      <c r="I224" s="333"/>
      <c r="J224" s="333">
        <f>INT(I224*C224)</f>
        <v>0</v>
      </c>
      <c r="K224" s="333">
        <f>기초단위당!J13</f>
        <v>20</v>
      </c>
      <c r="L224" s="334">
        <f>INT(K224*C224)</f>
        <v>20</v>
      </c>
    </row>
    <row r="225" spans="1:12" ht="13.5" customHeight="1">
      <c r="A225" s="145" t="s">
        <v>617</v>
      </c>
      <c r="B225" s="332"/>
      <c r="C225" s="146"/>
      <c r="D225" s="320"/>
      <c r="E225" s="333"/>
      <c r="F225" s="333">
        <f>H225+J225+L225</f>
        <v>515</v>
      </c>
      <c r="G225" s="333"/>
      <c r="H225" s="333">
        <f>SUM(H223:H224)</f>
        <v>0</v>
      </c>
      <c r="I225" s="333"/>
      <c r="J225" s="333">
        <f>SUM(J223:J224)</f>
        <v>466</v>
      </c>
      <c r="K225" s="333"/>
      <c r="L225" s="334">
        <f>SUM(L223:L224)</f>
        <v>49</v>
      </c>
    </row>
    <row r="226" spans="1:12" ht="13.5" customHeight="1">
      <c r="A226" s="209"/>
      <c r="B226" s="311"/>
      <c r="C226" s="95"/>
      <c r="D226" s="95"/>
      <c r="E226" s="312">
        <f>E222+1</f>
        <v>40</v>
      </c>
      <c r="F226" s="313" t="s">
        <v>1573</v>
      </c>
      <c r="G226" s="313"/>
      <c r="H226" s="95"/>
      <c r="I226" s="313"/>
      <c r="J226" s="313" t="s">
        <v>519</v>
      </c>
      <c r="K226" s="313"/>
      <c r="L226" s="314"/>
    </row>
    <row r="227" spans="1:12" ht="13.5" customHeight="1">
      <c r="A227" s="145" t="s">
        <v>412</v>
      </c>
      <c r="B227" s="332" t="s">
        <v>522</v>
      </c>
      <c r="C227" s="146">
        <v>1</v>
      </c>
      <c r="D227" s="320" t="s">
        <v>1014</v>
      </c>
      <c r="E227" s="333">
        <f>G227+I227+K227</f>
        <v>247</v>
      </c>
      <c r="F227" s="333">
        <f>H227+J227+L227</f>
        <v>247</v>
      </c>
      <c r="G227" s="333">
        <f>기초단위당!H12</f>
        <v>0</v>
      </c>
      <c r="H227" s="333">
        <f>INT(G227*C227)</f>
        <v>0</v>
      </c>
      <c r="I227" s="333">
        <f>기초단위당!I14</f>
        <v>233</v>
      </c>
      <c r="J227" s="333">
        <f>INT(I227*C227)</f>
        <v>233</v>
      </c>
      <c r="K227" s="333">
        <f>기초단위당!J14</f>
        <v>14</v>
      </c>
      <c r="L227" s="334">
        <f>INT(K227*C227)</f>
        <v>14</v>
      </c>
    </row>
    <row r="228" spans="1:12" ht="13.5" customHeight="1">
      <c r="A228" s="145" t="s">
        <v>412</v>
      </c>
      <c r="B228" s="332" t="s">
        <v>1400</v>
      </c>
      <c r="C228" s="146">
        <v>1</v>
      </c>
      <c r="D228" s="320" t="s">
        <v>1014</v>
      </c>
      <c r="E228" s="333">
        <f>G228+I228+K228</f>
        <v>10</v>
      </c>
      <c r="F228" s="333">
        <f>H228+J228+L228</f>
        <v>10</v>
      </c>
      <c r="G228" s="333">
        <f>기초단위당!H13</f>
        <v>0</v>
      </c>
      <c r="H228" s="333">
        <f>INT(G228*C228)</f>
        <v>0</v>
      </c>
      <c r="I228" s="333">
        <f>기초단위당!I13</f>
        <v>0</v>
      </c>
      <c r="J228" s="333">
        <f>INT(I228*C228)</f>
        <v>0</v>
      </c>
      <c r="K228" s="333">
        <f>기초단위당!J15</f>
        <v>10</v>
      </c>
      <c r="L228" s="334">
        <f>INT(K228*C228)</f>
        <v>10</v>
      </c>
    </row>
    <row r="229" spans="1:12" ht="13.5" customHeight="1">
      <c r="A229" s="335" t="s">
        <v>617</v>
      </c>
      <c r="B229" s="336"/>
      <c r="C229" s="337"/>
      <c r="D229" s="338"/>
      <c r="E229" s="339"/>
      <c r="F229" s="339">
        <f>H229+J229+L229</f>
        <v>257</v>
      </c>
      <c r="G229" s="339"/>
      <c r="H229" s="339">
        <f>SUM(H227:H228)</f>
        <v>0</v>
      </c>
      <c r="I229" s="339"/>
      <c r="J229" s="339">
        <f>SUM(J227:J228)</f>
        <v>233</v>
      </c>
      <c r="K229" s="339"/>
      <c r="L229" s="340">
        <f>SUM(L227:L228)</f>
        <v>24</v>
      </c>
    </row>
    <row r="230" spans="1:12" ht="13.5" customHeight="1">
      <c r="A230" s="209"/>
      <c r="B230" s="311"/>
      <c r="C230" s="95"/>
      <c r="D230" s="341"/>
      <c r="E230" s="312">
        <f>E226+1</f>
        <v>41</v>
      </c>
      <c r="F230" s="342" t="s">
        <v>1574</v>
      </c>
      <c r="G230" s="342"/>
      <c r="H230" s="342"/>
      <c r="I230" s="342"/>
      <c r="J230" s="342" t="s">
        <v>1073</v>
      </c>
      <c r="K230" s="342"/>
      <c r="L230" s="343"/>
    </row>
    <row r="231" spans="1:12" ht="13.5" customHeight="1">
      <c r="A231" s="344" t="s">
        <v>699</v>
      </c>
      <c r="B231" s="345"/>
      <c r="C231" s="346">
        <v>0.16</v>
      </c>
      <c r="D231" s="347" t="s">
        <v>501</v>
      </c>
      <c r="E231" s="348">
        <f t="shared" ref="E231:F234" si="39">G231+I231+K231</f>
        <v>238145</v>
      </c>
      <c r="F231" s="348">
        <f t="shared" si="39"/>
        <v>38103</v>
      </c>
      <c r="G231" s="348">
        <f>노임!D4</f>
        <v>238145</v>
      </c>
      <c r="H231" s="348">
        <f>INT(G231*C231)</f>
        <v>38103</v>
      </c>
      <c r="I231" s="348"/>
      <c r="J231" s="348">
        <f>INT(I231*C231)</f>
        <v>0</v>
      </c>
      <c r="K231" s="348"/>
      <c r="L231" s="349">
        <f>INT(K231*C231)</f>
        <v>0</v>
      </c>
    </row>
    <row r="232" spans="1:12" ht="13.5" customHeight="1">
      <c r="A232" s="350" t="s">
        <v>1365</v>
      </c>
      <c r="B232" s="351"/>
      <c r="C232" s="352">
        <v>0</v>
      </c>
      <c r="D232" s="353" t="s">
        <v>501</v>
      </c>
      <c r="E232" s="354">
        <f t="shared" si="39"/>
        <v>226122</v>
      </c>
      <c r="F232" s="354">
        <f t="shared" si="39"/>
        <v>0</v>
      </c>
      <c r="G232" s="354">
        <f>노임!D13</f>
        <v>226122</v>
      </c>
      <c r="H232" s="354">
        <f>INT(G232*C232)</f>
        <v>0</v>
      </c>
      <c r="I232" s="354"/>
      <c r="J232" s="354">
        <f>INT(I232*C232)</f>
        <v>0</v>
      </c>
      <c r="K232" s="354"/>
      <c r="L232" s="355">
        <f>INT(K232*C232)</f>
        <v>0</v>
      </c>
    </row>
    <row r="233" spans="1:12" ht="13.5" customHeight="1">
      <c r="A233" s="350" t="s">
        <v>500</v>
      </c>
      <c r="B233" s="351"/>
      <c r="C233" s="352">
        <v>0.06</v>
      </c>
      <c r="D233" s="353" t="s">
        <v>501</v>
      </c>
      <c r="E233" s="354">
        <f t="shared" si="39"/>
        <v>172068</v>
      </c>
      <c r="F233" s="354">
        <f t="shared" si="39"/>
        <v>10324</v>
      </c>
      <c r="G233" s="354">
        <f>노임!D14</f>
        <v>172068</v>
      </c>
      <c r="H233" s="354">
        <f>INT(G233*C233)</f>
        <v>10324</v>
      </c>
      <c r="I233" s="354"/>
      <c r="J233" s="354">
        <f>INT(I233*C233)</f>
        <v>0</v>
      </c>
      <c r="K233" s="354"/>
      <c r="L233" s="355">
        <f>INT(K233*C233)</f>
        <v>0</v>
      </c>
    </row>
    <row r="234" spans="1:12" ht="13.5" customHeight="1">
      <c r="A234" s="350" t="s">
        <v>2336</v>
      </c>
      <c r="B234" s="351" t="s">
        <v>2337</v>
      </c>
      <c r="C234" s="352">
        <v>0.15</v>
      </c>
      <c r="D234" s="353" t="s">
        <v>2338</v>
      </c>
      <c r="E234" s="354">
        <f t="shared" si="39"/>
        <v>48427</v>
      </c>
      <c r="F234" s="354">
        <f t="shared" si="39"/>
        <v>7264</v>
      </c>
      <c r="G234" s="354">
        <f>중기일람!D34</f>
        <v>0</v>
      </c>
      <c r="H234" s="354">
        <f>INT(G234*C234)</f>
        <v>0</v>
      </c>
      <c r="I234" s="354">
        <f>중기일람!E34</f>
        <v>0</v>
      </c>
      <c r="J234" s="354">
        <f>INT(I234*C234)</f>
        <v>0</v>
      </c>
      <c r="K234" s="354">
        <f>H231+H233</f>
        <v>48427</v>
      </c>
      <c r="L234" s="355">
        <f>INT(K234*C234)</f>
        <v>7264</v>
      </c>
    </row>
    <row r="235" spans="1:12" ht="13.5" customHeight="1">
      <c r="A235" s="356" t="s">
        <v>617</v>
      </c>
      <c r="B235" s="357"/>
      <c r="C235" s="358"/>
      <c r="D235" s="359"/>
      <c r="E235" s="360"/>
      <c r="F235" s="360">
        <f>H235+J235+L235</f>
        <v>55691</v>
      </c>
      <c r="G235" s="360"/>
      <c r="H235" s="360">
        <f>SUM(H231:H234)</f>
        <v>48427</v>
      </c>
      <c r="I235" s="360"/>
      <c r="J235" s="360">
        <f>SUM(J231:J234)</f>
        <v>0</v>
      </c>
      <c r="K235" s="360"/>
      <c r="L235" s="361">
        <f>SUM(L231:L234)</f>
        <v>7264</v>
      </c>
    </row>
    <row r="236" spans="1:12" ht="13.5" customHeight="1">
      <c r="A236" s="11"/>
      <c r="D236" s="132"/>
      <c r="E236" s="312">
        <f>E230+1</f>
        <v>42</v>
      </c>
      <c r="F236" s="362" t="s">
        <v>1925</v>
      </c>
      <c r="G236" s="362"/>
      <c r="H236" s="362"/>
      <c r="I236" s="362"/>
      <c r="J236" s="362" t="s">
        <v>1073</v>
      </c>
      <c r="K236" s="362"/>
      <c r="L236" s="363"/>
    </row>
    <row r="237" spans="1:12" ht="13.5" customHeight="1">
      <c r="A237" s="364" t="s">
        <v>699</v>
      </c>
      <c r="B237" s="365" t="s">
        <v>2407</v>
      </c>
      <c r="C237" s="817">
        <v>0.03</v>
      </c>
      <c r="D237" s="367" t="s">
        <v>501</v>
      </c>
      <c r="E237" s="368">
        <f>G237+I237+K237</f>
        <v>238145</v>
      </c>
      <c r="F237" s="368">
        <f>H237+J237+L237</f>
        <v>7144</v>
      </c>
      <c r="G237" s="368">
        <f>노임!D4</f>
        <v>238145</v>
      </c>
      <c r="H237" s="368">
        <f>INT(G237*C237)</f>
        <v>7144</v>
      </c>
      <c r="I237" s="368"/>
      <c r="J237" s="368">
        <f>INT(I237*C237)</f>
        <v>0</v>
      </c>
      <c r="K237" s="368"/>
      <c r="L237" s="369">
        <f>INT(K237*C237)</f>
        <v>0</v>
      </c>
    </row>
    <row r="238" spans="1:12" ht="13.5" customHeight="1">
      <c r="A238" s="350" t="s">
        <v>500</v>
      </c>
      <c r="B238" s="351" t="s">
        <v>2408</v>
      </c>
      <c r="C238" s="352">
        <v>1.4999999999999999E-2</v>
      </c>
      <c r="D238" s="353" t="s">
        <v>501</v>
      </c>
      <c r="E238" s="354">
        <f>G238+I238+K238</f>
        <v>172068</v>
      </c>
      <c r="F238" s="354">
        <f>H238+J238+L238</f>
        <v>2581</v>
      </c>
      <c r="G238" s="354">
        <f>노임!D14</f>
        <v>172068</v>
      </c>
      <c r="H238" s="354">
        <f>INT(G238*C238)</f>
        <v>2581</v>
      </c>
      <c r="I238" s="354"/>
      <c r="J238" s="354">
        <f>INT(I238*C238)</f>
        <v>0</v>
      </c>
      <c r="K238" s="354"/>
      <c r="L238" s="355">
        <f>INT(K238*C238)</f>
        <v>0</v>
      </c>
    </row>
    <row r="239" spans="1:12" ht="13.5" customHeight="1">
      <c r="A239" s="356" t="s">
        <v>617</v>
      </c>
      <c r="B239" s="357"/>
      <c r="C239" s="358"/>
      <c r="D239" s="359"/>
      <c r="E239" s="360"/>
      <c r="F239" s="360">
        <f>H239+J239+L239</f>
        <v>9725</v>
      </c>
      <c r="G239" s="360"/>
      <c r="H239" s="360">
        <f>SUM(H237:H238)</f>
        <v>9725</v>
      </c>
      <c r="I239" s="360"/>
      <c r="J239" s="360">
        <f>SUM(J237:J238)</f>
        <v>0</v>
      </c>
      <c r="K239" s="360"/>
      <c r="L239" s="361">
        <f>SUM(L237:L238)</f>
        <v>0</v>
      </c>
    </row>
    <row r="240" spans="1:12" ht="13.5" customHeight="1">
      <c r="A240" s="11"/>
      <c r="D240" s="132"/>
      <c r="E240" s="312">
        <f>E236+1</f>
        <v>43</v>
      </c>
      <c r="F240" s="362" t="s">
        <v>1926</v>
      </c>
      <c r="G240" s="362"/>
      <c r="H240" s="362"/>
      <c r="I240" s="362"/>
      <c r="J240" s="362" t="s">
        <v>1062</v>
      </c>
      <c r="K240" s="362"/>
      <c r="L240" s="363"/>
    </row>
    <row r="241" spans="1:12" ht="13.5" customHeight="1">
      <c r="A241" s="364" t="s">
        <v>699</v>
      </c>
      <c r="B241" s="365" t="s">
        <v>2398</v>
      </c>
      <c r="C241" s="366">
        <v>3.5000000000000003E-2</v>
      </c>
      <c r="D241" s="367" t="s">
        <v>501</v>
      </c>
      <c r="E241" s="368">
        <f>G241+I241+K241</f>
        <v>238145</v>
      </c>
      <c r="F241" s="368">
        <f>H241+J241+L241</f>
        <v>8335</v>
      </c>
      <c r="G241" s="368">
        <f>노임!D4</f>
        <v>238145</v>
      </c>
      <c r="H241" s="368">
        <f>INT(G241*C241)</f>
        <v>8335</v>
      </c>
      <c r="I241" s="368"/>
      <c r="J241" s="368">
        <f>INT(I241*C241)</f>
        <v>0</v>
      </c>
      <c r="K241" s="368"/>
      <c r="L241" s="369">
        <f>INT(K241*C241)</f>
        <v>0</v>
      </c>
    </row>
    <row r="242" spans="1:12" ht="13.5" customHeight="1">
      <c r="A242" s="350" t="s">
        <v>500</v>
      </c>
      <c r="B242" s="351" t="s">
        <v>2401</v>
      </c>
      <c r="C242" s="352">
        <v>1.6E-2</v>
      </c>
      <c r="D242" s="353" t="s">
        <v>501</v>
      </c>
      <c r="E242" s="354">
        <f>G242+I242+K242</f>
        <v>172068</v>
      </c>
      <c r="F242" s="354">
        <f>H242+J242+L242</f>
        <v>2753</v>
      </c>
      <c r="G242" s="354">
        <f>노임!D14</f>
        <v>172068</v>
      </c>
      <c r="H242" s="354">
        <f>INT(G242*C242)</f>
        <v>2753</v>
      </c>
      <c r="I242" s="354"/>
      <c r="J242" s="354">
        <f>INT(I242*C242)</f>
        <v>0</v>
      </c>
      <c r="K242" s="354"/>
      <c r="L242" s="355">
        <f>INT(K242*C242)</f>
        <v>0</v>
      </c>
    </row>
    <row r="243" spans="1:12" ht="13.5" customHeight="1">
      <c r="A243" s="356" t="s">
        <v>617</v>
      </c>
      <c r="B243" s="357"/>
      <c r="C243" s="358"/>
      <c r="D243" s="359"/>
      <c r="E243" s="360"/>
      <c r="F243" s="360">
        <f>H243+J243+L243</f>
        <v>11088</v>
      </c>
      <c r="G243" s="360"/>
      <c r="H243" s="360">
        <f>SUM(H241:H242)</f>
        <v>11088</v>
      </c>
      <c r="I243" s="360"/>
      <c r="J243" s="360">
        <f>SUM(J241:J242)</f>
        <v>0</v>
      </c>
      <c r="K243" s="360"/>
      <c r="L243" s="361">
        <f>SUM(L241:L242)</f>
        <v>0</v>
      </c>
    </row>
    <row r="244" spans="1:12" ht="13.5" customHeight="1">
      <c r="A244" s="11"/>
      <c r="D244" s="132"/>
      <c r="E244" s="312">
        <f>E240+1</f>
        <v>44</v>
      </c>
      <c r="F244" s="362" t="s">
        <v>1927</v>
      </c>
      <c r="G244" s="362"/>
      <c r="H244" s="362"/>
      <c r="I244" s="362"/>
      <c r="J244" s="362" t="s">
        <v>1073</v>
      </c>
      <c r="K244" s="362"/>
      <c r="L244" s="363"/>
    </row>
    <row r="245" spans="1:12" ht="13.5" customHeight="1">
      <c r="A245" s="364" t="s">
        <v>699</v>
      </c>
      <c r="B245" s="365" t="s">
        <v>2399</v>
      </c>
      <c r="C245" s="366">
        <v>0.04</v>
      </c>
      <c r="D245" s="367" t="s">
        <v>501</v>
      </c>
      <c r="E245" s="368">
        <f>G245+I245+K245</f>
        <v>238145</v>
      </c>
      <c r="F245" s="368">
        <f>H245+J245+L245</f>
        <v>9525</v>
      </c>
      <c r="G245" s="368">
        <f>노임!D4</f>
        <v>238145</v>
      </c>
      <c r="H245" s="368">
        <f>INT(G245*C245)</f>
        <v>9525</v>
      </c>
      <c r="I245" s="368">
        <v>0</v>
      </c>
      <c r="J245" s="368">
        <f>INT(I245*C245)</f>
        <v>0</v>
      </c>
      <c r="K245" s="368">
        <v>0</v>
      </c>
      <c r="L245" s="369">
        <f>INT(K245*C245)</f>
        <v>0</v>
      </c>
    </row>
    <row r="246" spans="1:12" ht="13.5" customHeight="1">
      <c r="A246" s="350" t="s">
        <v>500</v>
      </c>
      <c r="B246" s="351" t="s">
        <v>2400</v>
      </c>
      <c r="C246" s="352">
        <v>0.02</v>
      </c>
      <c r="D246" s="353" t="s">
        <v>501</v>
      </c>
      <c r="E246" s="354">
        <f>G246+I246+K246</f>
        <v>172068</v>
      </c>
      <c r="F246" s="354">
        <f>H246+J246+L246</f>
        <v>3441</v>
      </c>
      <c r="G246" s="354">
        <f>노임!D14</f>
        <v>172068</v>
      </c>
      <c r="H246" s="354">
        <f>INT(G246*C246)</f>
        <v>3441</v>
      </c>
      <c r="I246" s="354">
        <v>0</v>
      </c>
      <c r="J246" s="354">
        <f>INT(I246*C246)</f>
        <v>0</v>
      </c>
      <c r="K246" s="354">
        <v>0</v>
      </c>
      <c r="L246" s="355">
        <f>INT(K246*C246)</f>
        <v>0</v>
      </c>
    </row>
    <row r="247" spans="1:12" ht="13.5" customHeight="1">
      <c r="A247" s="356" t="s">
        <v>617</v>
      </c>
      <c r="B247" s="357"/>
      <c r="C247" s="358"/>
      <c r="D247" s="359"/>
      <c r="E247" s="360"/>
      <c r="F247" s="360">
        <f>H247+J247+L247</f>
        <v>12966</v>
      </c>
      <c r="G247" s="360"/>
      <c r="H247" s="360">
        <f>SUM(H245:H246)</f>
        <v>12966</v>
      </c>
      <c r="I247" s="360"/>
      <c r="J247" s="360">
        <f>SUM(J245:J246)</f>
        <v>0</v>
      </c>
      <c r="K247" s="360"/>
      <c r="L247" s="361">
        <f>SUM(L245:L246)</f>
        <v>0</v>
      </c>
    </row>
    <row r="248" spans="1:12" ht="13.5" customHeight="1">
      <c r="A248" s="11"/>
      <c r="D248" s="132"/>
      <c r="E248" s="312">
        <f>E244+1</f>
        <v>45</v>
      </c>
      <c r="F248" s="362" t="s">
        <v>1928</v>
      </c>
      <c r="G248" s="362"/>
      <c r="H248" s="362"/>
      <c r="I248" s="362"/>
      <c r="J248" s="362" t="s">
        <v>1073</v>
      </c>
      <c r="K248" s="362"/>
      <c r="L248" s="363"/>
    </row>
    <row r="249" spans="1:12" ht="13.5" customHeight="1">
      <c r="A249" s="364" t="s">
        <v>699</v>
      </c>
      <c r="B249" s="365" t="s">
        <v>2402</v>
      </c>
      <c r="C249" s="366">
        <v>4.2999999999999997E-2</v>
      </c>
      <c r="D249" s="367" t="s">
        <v>501</v>
      </c>
      <c r="E249" s="368">
        <f>G249+I249+K249</f>
        <v>238145</v>
      </c>
      <c r="F249" s="368">
        <f>H249+J249+L249</f>
        <v>10240</v>
      </c>
      <c r="G249" s="368">
        <f>노임!D4</f>
        <v>238145</v>
      </c>
      <c r="H249" s="368">
        <f>INT(G249*C249)</f>
        <v>10240</v>
      </c>
      <c r="I249" s="368"/>
      <c r="J249" s="368">
        <f>INT(I249*C249)</f>
        <v>0</v>
      </c>
      <c r="K249" s="368"/>
      <c r="L249" s="369">
        <f>INT(K249*C249)</f>
        <v>0</v>
      </c>
    </row>
    <row r="250" spans="1:12" ht="13.5" customHeight="1">
      <c r="A250" s="350" t="s">
        <v>500</v>
      </c>
      <c r="B250" s="351" t="s">
        <v>2403</v>
      </c>
      <c r="C250" s="352">
        <v>2.1000000000000001E-2</v>
      </c>
      <c r="D250" s="353" t="s">
        <v>501</v>
      </c>
      <c r="E250" s="354">
        <f>G250+I250+K250</f>
        <v>172068</v>
      </c>
      <c r="F250" s="354">
        <f>H250+J250+L250</f>
        <v>3613</v>
      </c>
      <c r="G250" s="354">
        <f>노임!D14</f>
        <v>172068</v>
      </c>
      <c r="H250" s="354">
        <f>INT(G250*C250)</f>
        <v>3613</v>
      </c>
      <c r="I250" s="354"/>
      <c r="J250" s="354">
        <f>INT(I250*C250)</f>
        <v>0</v>
      </c>
      <c r="K250" s="354"/>
      <c r="L250" s="355">
        <f>INT(K250*C250)</f>
        <v>0</v>
      </c>
    </row>
    <row r="251" spans="1:12" ht="13.5" customHeight="1">
      <c r="A251" s="356" t="s">
        <v>617</v>
      </c>
      <c r="B251" s="357"/>
      <c r="C251" s="358"/>
      <c r="D251" s="359"/>
      <c r="E251" s="360"/>
      <c r="F251" s="360">
        <f>H251+J251+L251</f>
        <v>13853</v>
      </c>
      <c r="G251" s="360"/>
      <c r="H251" s="360">
        <f>SUM(H249:H250)</f>
        <v>13853</v>
      </c>
      <c r="I251" s="360"/>
      <c r="J251" s="360">
        <f>SUM(J249:J250)</f>
        <v>0</v>
      </c>
      <c r="K251" s="360"/>
      <c r="L251" s="361">
        <f>SUM(L249:L250)</f>
        <v>0</v>
      </c>
    </row>
    <row r="252" spans="1:12" ht="13.5" customHeight="1">
      <c r="A252" s="11"/>
      <c r="D252" s="132"/>
      <c r="E252" s="312">
        <f>E248+1</f>
        <v>46</v>
      </c>
      <c r="F252" s="362" t="s">
        <v>2404</v>
      </c>
      <c r="G252" s="362"/>
      <c r="H252" s="362"/>
      <c r="I252" s="362"/>
      <c r="J252" s="362" t="s">
        <v>1073</v>
      </c>
      <c r="K252" s="362"/>
      <c r="L252" s="363"/>
    </row>
    <row r="253" spans="1:12" ht="13.5" customHeight="1">
      <c r="A253" s="364" t="s">
        <v>699</v>
      </c>
      <c r="B253" s="365" t="s">
        <v>2405</v>
      </c>
      <c r="C253" s="366">
        <v>6.6000000000000003E-2</v>
      </c>
      <c r="D253" s="367" t="s">
        <v>30</v>
      </c>
      <c r="E253" s="368">
        <f>G253+I253+K253</f>
        <v>238145</v>
      </c>
      <c r="F253" s="368">
        <f>H253+J253+L253</f>
        <v>15717</v>
      </c>
      <c r="G253" s="368">
        <f>G249</f>
        <v>238145</v>
      </c>
      <c r="H253" s="368">
        <f>INT(G253*C253)</f>
        <v>15717</v>
      </c>
      <c r="I253" s="368">
        <f>I249</f>
        <v>0</v>
      </c>
      <c r="J253" s="368">
        <f>INT(I253*C253)</f>
        <v>0</v>
      </c>
      <c r="K253" s="368">
        <f>K249</f>
        <v>0</v>
      </c>
      <c r="L253" s="369">
        <f>INT(K253*C253)</f>
        <v>0</v>
      </c>
    </row>
    <row r="254" spans="1:12" ht="13.5" customHeight="1">
      <c r="A254" s="350" t="s">
        <v>27</v>
      </c>
      <c r="B254" s="351" t="s">
        <v>2406</v>
      </c>
      <c r="C254" s="352">
        <v>3.3000000000000002E-2</v>
      </c>
      <c r="D254" s="353" t="s">
        <v>30</v>
      </c>
      <c r="E254" s="354">
        <f>G254+I254+K254</f>
        <v>172068</v>
      </c>
      <c r="F254" s="354">
        <f>H254+J254+L254</f>
        <v>5678</v>
      </c>
      <c r="G254" s="354">
        <f>G250</f>
        <v>172068</v>
      </c>
      <c r="H254" s="354">
        <f>INT(G254*C254)</f>
        <v>5678</v>
      </c>
      <c r="I254" s="354">
        <f>I250</f>
        <v>0</v>
      </c>
      <c r="J254" s="354">
        <f>INT(I254*C254)</f>
        <v>0</v>
      </c>
      <c r="K254" s="354">
        <f>K250</f>
        <v>0</v>
      </c>
      <c r="L254" s="355">
        <f>INT(K254*C254)</f>
        <v>0</v>
      </c>
    </row>
    <row r="255" spans="1:12" ht="13.5" customHeight="1">
      <c r="A255" s="356" t="s">
        <v>617</v>
      </c>
      <c r="B255" s="357"/>
      <c r="C255" s="358"/>
      <c r="D255" s="359"/>
      <c r="E255" s="360"/>
      <c r="F255" s="360">
        <f>H255+J255+L255</f>
        <v>21395</v>
      </c>
      <c r="G255" s="360"/>
      <c r="H255" s="360">
        <f>SUM(H253:H254)</f>
        <v>21395</v>
      </c>
      <c r="I255" s="360"/>
      <c r="J255" s="360">
        <f>SUM(J253:J254)</f>
        <v>0</v>
      </c>
      <c r="K255" s="360"/>
      <c r="L255" s="361">
        <f>SUM(L253:L254)</f>
        <v>0</v>
      </c>
    </row>
    <row r="256" spans="1:12" ht="13.5" customHeight="1">
      <c r="A256" s="209"/>
      <c r="B256" s="311"/>
      <c r="C256" s="95"/>
      <c r="D256" s="95"/>
      <c r="E256" s="312">
        <f>E252+1</f>
        <v>47</v>
      </c>
      <c r="F256" s="313" t="s">
        <v>1575</v>
      </c>
      <c r="G256" s="313"/>
      <c r="H256" s="313"/>
      <c r="I256" s="313"/>
      <c r="J256" s="313" t="s">
        <v>1071</v>
      </c>
      <c r="K256" s="313"/>
      <c r="L256" s="314"/>
    </row>
    <row r="257" spans="1:12" ht="13.5" customHeight="1">
      <c r="A257" s="141" t="s">
        <v>1371</v>
      </c>
      <c r="B257" s="315"/>
      <c r="C257" s="142">
        <v>3.3999999999999998E-3</v>
      </c>
      <c r="D257" s="316" t="s">
        <v>862</v>
      </c>
      <c r="E257" s="370">
        <f t="shared" ref="E257:F261" si="40">G257+I257+K257</f>
        <v>10000</v>
      </c>
      <c r="F257" s="370">
        <f t="shared" si="40"/>
        <v>34</v>
      </c>
      <c r="G257" s="370"/>
      <c r="H257" s="370">
        <f>INT(G257*C257)</f>
        <v>0</v>
      </c>
      <c r="I257" s="370">
        <f>자재!F24</f>
        <v>10000</v>
      </c>
      <c r="J257" s="370">
        <f>INT(I257*C257)</f>
        <v>34</v>
      </c>
      <c r="K257" s="370">
        <v>0</v>
      </c>
      <c r="L257" s="371">
        <f>INT(K257*C257)</f>
        <v>0</v>
      </c>
    </row>
    <row r="258" spans="1:12" ht="13.5" customHeight="1">
      <c r="A258" s="145" t="s">
        <v>1576</v>
      </c>
      <c r="B258" s="319"/>
      <c r="C258" s="146">
        <v>1.23E-2</v>
      </c>
      <c r="D258" s="320" t="s">
        <v>990</v>
      </c>
      <c r="E258" s="372">
        <f t="shared" si="40"/>
        <v>9500</v>
      </c>
      <c r="F258" s="372">
        <f t="shared" si="40"/>
        <v>116</v>
      </c>
      <c r="G258" s="372"/>
      <c r="H258" s="372">
        <f>INT(G258*C258)</f>
        <v>0</v>
      </c>
      <c r="I258" s="372">
        <f>자재!F23</f>
        <v>9500</v>
      </c>
      <c r="J258" s="372">
        <f>INT(I258*C258)</f>
        <v>116</v>
      </c>
      <c r="K258" s="372">
        <v>0</v>
      </c>
      <c r="L258" s="373">
        <f>INT(K258*C258)</f>
        <v>0</v>
      </c>
    </row>
    <row r="259" spans="1:12" ht="13.5" customHeight="1">
      <c r="A259" s="145" t="s">
        <v>1364</v>
      </c>
      <c r="B259" s="319"/>
      <c r="C259" s="146">
        <v>4.5999999999999999E-3</v>
      </c>
      <c r="D259" s="320" t="s">
        <v>1328</v>
      </c>
      <c r="E259" s="372">
        <f t="shared" si="40"/>
        <v>278326</v>
      </c>
      <c r="F259" s="372">
        <f t="shared" si="40"/>
        <v>1280</v>
      </c>
      <c r="G259" s="372">
        <f>노임!F11</f>
        <v>278326</v>
      </c>
      <c r="H259" s="372">
        <f>INT(G259*C259)</f>
        <v>1280</v>
      </c>
      <c r="I259" s="372">
        <v>0</v>
      </c>
      <c r="J259" s="372">
        <f>INT(I259*C259)</f>
        <v>0</v>
      </c>
      <c r="K259" s="372">
        <v>0</v>
      </c>
      <c r="L259" s="373">
        <f>INT(K259*C259)</f>
        <v>0</v>
      </c>
    </row>
    <row r="260" spans="1:12" ht="13.5" customHeight="1">
      <c r="A260" s="145" t="s">
        <v>171</v>
      </c>
      <c r="B260" s="319"/>
      <c r="C260" s="146">
        <v>2.3E-3</v>
      </c>
      <c r="D260" s="320" t="s">
        <v>1328</v>
      </c>
      <c r="E260" s="372">
        <f t="shared" si="40"/>
        <v>226122</v>
      </c>
      <c r="F260" s="372">
        <f t="shared" si="40"/>
        <v>520</v>
      </c>
      <c r="G260" s="372">
        <f>노임!D13</f>
        <v>226122</v>
      </c>
      <c r="H260" s="372">
        <f>INT(G260*C260)</f>
        <v>520</v>
      </c>
      <c r="I260" s="372">
        <v>0</v>
      </c>
      <c r="J260" s="372">
        <f>INT(I260*C260)</f>
        <v>0</v>
      </c>
      <c r="K260" s="372">
        <v>0</v>
      </c>
      <c r="L260" s="373">
        <f>INT(K260*C260)</f>
        <v>0</v>
      </c>
    </row>
    <row r="261" spans="1:12" ht="13.5" customHeight="1">
      <c r="A261" s="145" t="s">
        <v>714</v>
      </c>
      <c r="B261" s="319"/>
      <c r="C261" s="146">
        <v>0.02</v>
      </c>
      <c r="D261" s="320" t="s">
        <v>169</v>
      </c>
      <c r="E261" s="372">
        <f t="shared" si="40"/>
        <v>1800</v>
      </c>
      <c r="F261" s="372">
        <f t="shared" si="40"/>
        <v>36</v>
      </c>
      <c r="G261" s="372">
        <v>0</v>
      </c>
      <c r="H261" s="372">
        <f>INT(G261*C261)</f>
        <v>0</v>
      </c>
      <c r="I261" s="372">
        <v>0</v>
      </c>
      <c r="J261" s="372">
        <f>INT(I261*C261)</f>
        <v>0</v>
      </c>
      <c r="K261" s="372">
        <f>SUM(H257:H260)</f>
        <v>1800</v>
      </c>
      <c r="L261" s="373">
        <f>INT(K261*C261)</f>
        <v>36</v>
      </c>
    </row>
    <row r="262" spans="1:12" ht="13.5" customHeight="1">
      <c r="A262" s="145" t="s">
        <v>617</v>
      </c>
      <c r="B262" s="319"/>
      <c r="C262" s="146"/>
      <c r="D262" s="146"/>
      <c r="E262" s="372"/>
      <c r="F262" s="372">
        <f>H262+J262+L262</f>
        <v>1986</v>
      </c>
      <c r="G262" s="372"/>
      <c r="H262" s="372">
        <f>SUM(H257:H261)</f>
        <v>1800</v>
      </c>
      <c r="I262" s="372"/>
      <c r="J262" s="372">
        <f>SUM(J257:J261)</f>
        <v>150</v>
      </c>
      <c r="K262" s="372"/>
      <c r="L262" s="373">
        <f>SUM(L257:L261)</f>
        <v>36</v>
      </c>
    </row>
    <row r="263" spans="1:12" ht="13.5" customHeight="1">
      <c r="A263" s="209"/>
      <c r="B263" s="311"/>
      <c r="C263" s="95"/>
      <c r="D263" s="95"/>
      <c r="E263" s="312">
        <f>E256+1</f>
        <v>48</v>
      </c>
      <c r="F263" s="313" t="s">
        <v>1577</v>
      </c>
      <c r="G263" s="313"/>
      <c r="H263" s="313"/>
      <c r="I263" s="313"/>
      <c r="J263" s="313" t="s">
        <v>1071</v>
      </c>
      <c r="K263" s="313"/>
      <c r="L263" s="314"/>
    </row>
    <row r="264" spans="1:12" ht="13.5" customHeight="1">
      <c r="A264" s="145" t="s">
        <v>1371</v>
      </c>
      <c r="B264" s="319"/>
      <c r="C264" s="146">
        <v>8.9999999999999993E-3</v>
      </c>
      <c r="D264" s="320" t="s">
        <v>862</v>
      </c>
      <c r="E264" s="372">
        <f t="shared" ref="E264:F268" si="41">G264+I264+K264</f>
        <v>10000</v>
      </c>
      <c r="F264" s="372">
        <f t="shared" si="41"/>
        <v>90</v>
      </c>
      <c r="G264" s="372"/>
      <c r="H264" s="372">
        <f>INT(G264*C264)</f>
        <v>0</v>
      </c>
      <c r="I264" s="372">
        <f>자재!F24</f>
        <v>10000</v>
      </c>
      <c r="J264" s="372">
        <f>INT(I264*C264)</f>
        <v>90</v>
      </c>
      <c r="K264" s="372">
        <v>0</v>
      </c>
      <c r="L264" s="373">
        <f>INT(K264*C264)</f>
        <v>0</v>
      </c>
    </row>
    <row r="265" spans="1:12" ht="13.5" customHeight="1">
      <c r="A265" s="145" t="s">
        <v>1576</v>
      </c>
      <c r="B265" s="319"/>
      <c r="C265" s="146">
        <v>3.1899999999999998E-2</v>
      </c>
      <c r="D265" s="320" t="s">
        <v>990</v>
      </c>
      <c r="E265" s="372">
        <f t="shared" si="41"/>
        <v>9500</v>
      </c>
      <c r="F265" s="372">
        <f t="shared" si="41"/>
        <v>303</v>
      </c>
      <c r="G265" s="372"/>
      <c r="H265" s="372">
        <f>INT(G265*C265)</f>
        <v>0</v>
      </c>
      <c r="I265" s="372">
        <f>자재!F23</f>
        <v>9500</v>
      </c>
      <c r="J265" s="372">
        <f>INT(I265*C265)</f>
        <v>303</v>
      </c>
      <c r="K265" s="372">
        <v>0</v>
      </c>
      <c r="L265" s="373">
        <f>INT(K265*C265)</f>
        <v>0</v>
      </c>
    </row>
    <row r="266" spans="1:12" ht="13.5" customHeight="1">
      <c r="A266" s="145" t="s">
        <v>1364</v>
      </c>
      <c r="B266" s="319"/>
      <c r="C266" s="146">
        <v>5.0499999999999998E-3</v>
      </c>
      <c r="D266" s="320" t="s">
        <v>1328</v>
      </c>
      <c r="E266" s="372">
        <f t="shared" si="41"/>
        <v>278326</v>
      </c>
      <c r="F266" s="372">
        <f t="shared" si="41"/>
        <v>1405</v>
      </c>
      <c r="G266" s="372">
        <f>노임!F11</f>
        <v>278326</v>
      </c>
      <c r="H266" s="372">
        <f>INT(G266*C266)</f>
        <v>1405</v>
      </c>
      <c r="I266" s="372">
        <v>0</v>
      </c>
      <c r="J266" s="372">
        <f>INT(I266*C266)</f>
        <v>0</v>
      </c>
      <c r="K266" s="372">
        <v>0</v>
      </c>
      <c r="L266" s="373">
        <f>INT(K266*C266)</f>
        <v>0</v>
      </c>
    </row>
    <row r="267" spans="1:12" ht="13.5" customHeight="1">
      <c r="A267" s="145" t="s">
        <v>171</v>
      </c>
      <c r="B267" s="319"/>
      <c r="C267" s="146">
        <v>2.5699999999999998E-3</v>
      </c>
      <c r="D267" s="320" t="s">
        <v>1328</v>
      </c>
      <c r="E267" s="372">
        <f t="shared" si="41"/>
        <v>226122</v>
      </c>
      <c r="F267" s="372">
        <f t="shared" si="41"/>
        <v>581</v>
      </c>
      <c r="G267" s="372">
        <f>노임!D13</f>
        <v>226122</v>
      </c>
      <c r="H267" s="372">
        <f>INT(G267*C267)</f>
        <v>581</v>
      </c>
      <c r="I267" s="372">
        <v>0</v>
      </c>
      <c r="J267" s="372">
        <f>INT(I267*C267)</f>
        <v>0</v>
      </c>
      <c r="K267" s="372">
        <v>0</v>
      </c>
      <c r="L267" s="373">
        <f>INT(K267*C267)</f>
        <v>0</v>
      </c>
    </row>
    <row r="268" spans="1:12" ht="13.5" customHeight="1">
      <c r="A268" s="145" t="s">
        <v>714</v>
      </c>
      <c r="B268" s="319"/>
      <c r="C268" s="146">
        <v>0.02</v>
      </c>
      <c r="D268" s="320" t="s">
        <v>169</v>
      </c>
      <c r="E268" s="372">
        <f t="shared" si="41"/>
        <v>1986</v>
      </c>
      <c r="F268" s="372">
        <f t="shared" si="41"/>
        <v>39</v>
      </c>
      <c r="G268" s="372">
        <v>0</v>
      </c>
      <c r="H268" s="372">
        <f>INT(G268*C268)</f>
        <v>0</v>
      </c>
      <c r="I268" s="372">
        <v>0</v>
      </c>
      <c r="J268" s="372">
        <f>INT(I268*C268)</f>
        <v>0</v>
      </c>
      <c r="K268" s="372">
        <f>SUM(H264:H267)</f>
        <v>1986</v>
      </c>
      <c r="L268" s="373">
        <f>INT(K268*C268)</f>
        <v>39</v>
      </c>
    </row>
    <row r="269" spans="1:12" ht="13.5" customHeight="1">
      <c r="A269" s="145" t="s">
        <v>617</v>
      </c>
      <c r="B269" s="319"/>
      <c r="C269" s="146"/>
      <c r="D269" s="146"/>
      <c r="E269" s="372"/>
      <c r="F269" s="372">
        <f>H269+J269+L269</f>
        <v>2418</v>
      </c>
      <c r="G269" s="372"/>
      <c r="H269" s="372">
        <f>SUM(H264:H268)</f>
        <v>1986</v>
      </c>
      <c r="I269" s="372"/>
      <c r="J269" s="372">
        <f>SUM(J264:J268)</f>
        <v>393</v>
      </c>
      <c r="K269" s="372"/>
      <c r="L269" s="373">
        <f>SUM(L264:L268)</f>
        <v>39</v>
      </c>
    </row>
    <row r="270" spans="1:12" ht="13.5" customHeight="1">
      <c r="A270" s="209"/>
      <c r="B270" s="311"/>
      <c r="C270" s="95"/>
      <c r="D270" s="95"/>
      <c r="E270" s="312">
        <f>E263+1</f>
        <v>49</v>
      </c>
      <c r="F270" s="313" t="s">
        <v>1578</v>
      </c>
      <c r="G270" s="313"/>
      <c r="H270" s="313"/>
      <c r="I270" s="313"/>
      <c r="J270" s="313" t="s">
        <v>1071</v>
      </c>
      <c r="K270" s="313"/>
      <c r="L270" s="314"/>
    </row>
    <row r="271" spans="1:12" ht="13.5" customHeight="1">
      <c r="A271" s="145" t="s">
        <v>352</v>
      </c>
      <c r="B271" s="319"/>
      <c r="C271" s="146">
        <v>0.16</v>
      </c>
      <c r="D271" s="320" t="s">
        <v>1018</v>
      </c>
      <c r="E271" s="372">
        <f t="shared" ref="E271:F275" si="42">G271+I271+K271</f>
        <v>1849</v>
      </c>
      <c r="F271" s="372">
        <f t="shared" si="42"/>
        <v>295</v>
      </c>
      <c r="G271" s="372"/>
      <c r="H271" s="372">
        <f>INT(G271*C271)</f>
        <v>0</v>
      </c>
      <c r="I271" s="372">
        <f>자재!F187</f>
        <v>1849</v>
      </c>
      <c r="J271" s="372">
        <f>INT(I271*C271)</f>
        <v>295</v>
      </c>
      <c r="K271" s="372">
        <v>0</v>
      </c>
      <c r="L271" s="373">
        <f>INT(K271*C271)</f>
        <v>0</v>
      </c>
    </row>
    <row r="272" spans="1:12" ht="13.5" customHeight="1">
      <c r="A272" s="145" t="s">
        <v>1579</v>
      </c>
      <c r="B272" s="319"/>
      <c r="C272" s="146">
        <v>1.1399999999999999</v>
      </c>
      <c r="D272" s="320" t="s">
        <v>1580</v>
      </c>
      <c r="E272" s="372">
        <f t="shared" si="42"/>
        <v>77</v>
      </c>
      <c r="F272" s="372">
        <f t="shared" si="42"/>
        <v>87</v>
      </c>
      <c r="G272" s="372"/>
      <c r="H272" s="372">
        <f>INT(G272*C272)</f>
        <v>0</v>
      </c>
      <c r="I272" s="372">
        <v>0</v>
      </c>
      <c r="J272" s="372">
        <f>INT(I272*C272)</f>
        <v>0</v>
      </c>
      <c r="K272" s="372">
        <v>77</v>
      </c>
      <c r="L272" s="373">
        <f>INT(K272*C272)</f>
        <v>87</v>
      </c>
    </row>
    <row r="273" spans="1:12" ht="13.5" customHeight="1">
      <c r="A273" s="145" t="s">
        <v>1364</v>
      </c>
      <c r="B273" s="319" t="s">
        <v>1581</v>
      </c>
      <c r="C273" s="146">
        <v>0.02</v>
      </c>
      <c r="D273" s="320" t="s">
        <v>1328</v>
      </c>
      <c r="E273" s="372">
        <f t="shared" si="42"/>
        <v>278326</v>
      </c>
      <c r="F273" s="372">
        <f t="shared" si="42"/>
        <v>5566</v>
      </c>
      <c r="G273" s="372">
        <f>노임!F11</f>
        <v>278326</v>
      </c>
      <c r="H273" s="372">
        <f>INT(G273*C273)</f>
        <v>5566</v>
      </c>
      <c r="I273" s="372">
        <v>0</v>
      </c>
      <c r="J273" s="372">
        <f>INT(I273*C273)</f>
        <v>0</v>
      </c>
      <c r="K273" s="372">
        <v>0</v>
      </c>
      <c r="L273" s="373">
        <f>INT(K273*C273)</f>
        <v>0</v>
      </c>
    </row>
    <row r="274" spans="1:12" ht="13.5" customHeight="1">
      <c r="A274" s="145" t="s">
        <v>171</v>
      </c>
      <c r="B274" s="319" t="s">
        <v>1582</v>
      </c>
      <c r="C274" s="146">
        <v>4.0000000000000001E-3</v>
      </c>
      <c r="D274" s="320" t="s">
        <v>1328</v>
      </c>
      <c r="E274" s="372">
        <f t="shared" si="42"/>
        <v>226122</v>
      </c>
      <c r="F274" s="372">
        <f t="shared" si="42"/>
        <v>904</v>
      </c>
      <c r="G274" s="372">
        <f>노임!D13</f>
        <v>226122</v>
      </c>
      <c r="H274" s="372">
        <f>INT(G274*C274)</f>
        <v>904</v>
      </c>
      <c r="I274" s="372">
        <v>0</v>
      </c>
      <c r="J274" s="372">
        <f>INT(I274*C274)</f>
        <v>0</v>
      </c>
      <c r="K274" s="372">
        <v>0</v>
      </c>
      <c r="L274" s="373">
        <f>INT(K274*C274)</f>
        <v>0</v>
      </c>
    </row>
    <row r="275" spans="1:12" ht="13.5" customHeight="1">
      <c r="A275" s="145" t="s">
        <v>714</v>
      </c>
      <c r="B275" s="319"/>
      <c r="C275" s="146">
        <v>0.05</v>
      </c>
      <c r="D275" s="320" t="s">
        <v>169</v>
      </c>
      <c r="E275" s="372">
        <f t="shared" si="42"/>
        <v>6470</v>
      </c>
      <c r="F275" s="372">
        <f t="shared" si="42"/>
        <v>323</v>
      </c>
      <c r="G275" s="372">
        <v>0</v>
      </c>
      <c r="H275" s="372">
        <f>INT(G275*C275)</f>
        <v>0</v>
      </c>
      <c r="I275" s="372">
        <v>0</v>
      </c>
      <c r="J275" s="372">
        <f>INT(I275*C275)</f>
        <v>0</v>
      </c>
      <c r="K275" s="372">
        <f>SUM(H271:H274)</f>
        <v>6470</v>
      </c>
      <c r="L275" s="373">
        <f>INT(K275*C275)</f>
        <v>323</v>
      </c>
    </row>
    <row r="276" spans="1:12" ht="13.5" customHeight="1">
      <c r="A276" s="145" t="s">
        <v>617</v>
      </c>
      <c r="B276" s="319"/>
      <c r="C276" s="146"/>
      <c r="D276" s="146"/>
      <c r="E276" s="372"/>
      <c r="F276" s="372">
        <f>H276+J276+L276</f>
        <v>7175</v>
      </c>
      <c r="G276" s="372"/>
      <c r="H276" s="372">
        <f>SUM(H271:H275)</f>
        <v>6470</v>
      </c>
      <c r="I276" s="372"/>
      <c r="J276" s="372">
        <f>SUM(J271:J275)</f>
        <v>295</v>
      </c>
      <c r="K276" s="372"/>
      <c r="L276" s="373">
        <f>SUM(L271:L275)</f>
        <v>410</v>
      </c>
    </row>
    <row r="277" spans="1:12" ht="13.5" customHeight="1">
      <c r="A277" s="209"/>
      <c r="B277" s="311"/>
      <c r="C277" s="95"/>
      <c r="D277" s="95"/>
      <c r="E277" s="312">
        <f>E270+1</f>
        <v>50</v>
      </c>
      <c r="F277" s="313" t="s">
        <v>1583</v>
      </c>
      <c r="G277" s="313"/>
      <c r="H277" s="313"/>
      <c r="I277" s="313"/>
      <c r="J277" s="313" t="s">
        <v>1071</v>
      </c>
      <c r="K277" s="313"/>
      <c r="L277" s="314"/>
    </row>
    <row r="278" spans="1:12" ht="13.5" customHeight="1">
      <c r="A278" s="145" t="s">
        <v>352</v>
      </c>
      <c r="B278" s="319"/>
      <c r="C278" s="146">
        <v>0.27</v>
      </c>
      <c r="D278" s="320" t="s">
        <v>1018</v>
      </c>
      <c r="E278" s="372">
        <f t="shared" ref="E278:F282" si="43">G278+I278+K278</f>
        <v>1849</v>
      </c>
      <c r="F278" s="372">
        <f t="shared" si="43"/>
        <v>499</v>
      </c>
      <c r="G278" s="372"/>
      <c r="H278" s="372">
        <f>INT(G278*C278)</f>
        <v>0</v>
      </c>
      <c r="I278" s="372">
        <f>자재!F187</f>
        <v>1849</v>
      </c>
      <c r="J278" s="372">
        <f>INT(I278*C278)</f>
        <v>499</v>
      </c>
      <c r="K278" s="372">
        <v>0</v>
      </c>
      <c r="L278" s="373">
        <f>INT(K278*C278)</f>
        <v>0</v>
      </c>
    </row>
    <row r="279" spans="1:12" ht="13.5" customHeight="1">
      <c r="A279" s="145" t="s">
        <v>1579</v>
      </c>
      <c r="B279" s="319"/>
      <c r="C279" s="146">
        <v>1.9</v>
      </c>
      <c r="D279" s="320" t="s">
        <v>1580</v>
      </c>
      <c r="E279" s="372">
        <f t="shared" si="43"/>
        <v>77</v>
      </c>
      <c r="F279" s="372">
        <f t="shared" si="43"/>
        <v>146</v>
      </c>
      <c r="G279" s="372"/>
      <c r="H279" s="372">
        <f>INT(G279*C279)</f>
        <v>0</v>
      </c>
      <c r="I279" s="372">
        <v>0</v>
      </c>
      <c r="J279" s="372">
        <f>INT(I279*C279)</f>
        <v>0</v>
      </c>
      <c r="K279" s="372">
        <v>77</v>
      </c>
      <c r="L279" s="373">
        <f>INT(K279*C279)</f>
        <v>146</v>
      </c>
    </row>
    <row r="280" spans="1:12" ht="13.5" customHeight="1">
      <c r="A280" s="145" t="s">
        <v>1364</v>
      </c>
      <c r="B280" s="319" t="s">
        <v>1584</v>
      </c>
      <c r="C280" s="146">
        <v>3.3000000000000002E-2</v>
      </c>
      <c r="D280" s="320" t="s">
        <v>1328</v>
      </c>
      <c r="E280" s="372">
        <f t="shared" si="43"/>
        <v>278326</v>
      </c>
      <c r="F280" s="372">
        <f t="shared" si="43"/>
        <v>9184</v>
      </c>
      <c r="G280" s="372">
        <f>노임!F11</f>
        <v>278326</v>
      </c>
      <c r="H280" s="372">
        <f>INT(G280*C280)</f>
        <v>9184</v>
      </c>
      <c r="I280" s="372">
        <v>0</v>
      </c>
      <c r="J280" s="372">
        <f>INT(I280*C280)</f>
        <v>0</v>
      </c>
      <c r="K280" s="372">
        <v>0</v>
      </c>
      <c r="L280" s="373">
        <f>INT(K280*C280)</f>
        <v>0</v>
      </c>
    </row>
    <row r="281" spans="1:12" ht="13.5" customHeight="1">
      <c r="A281" s="145" t="s">
        <v>171</v>
      </c>
      <c r="B281" s="319" t="s">
        <v>1585</v>
      </c>
      <c r="C281" s="146">
        <v>6.7000000000000002E-3</v>
      </c>
      <c r="D281" s="320" t="s">
        <v>1328</v>
      </c>
      <c r="E281" s="372">
        <f t="shared" si="43"/>
        <v>226122</v>
      </c>
      <c r="F281" s="372">
        <f t="shared" si="43"/>
        <v>1515</v>
      </c>
      <c r="G281" s="372">
        <f>노임!D13</f>
        <v>226122</v>
      </c>
      <c r="H281" s="372">
        <f>INT(G281*C281)</f>
        <v>1515</v>
      </c>
      <c r="I281" s="372">
        <v>0</v>
      </c>
      <c r="J281" s="372">
        <f>INT(I281*C281)</f>
        <v>0</v>
      </c>
      <c r="K281" s="372">
        <v>0</v>
      </c>
      <c r="L281" s="373">
        <f>INT(K281*C281)</f>
        <v>0</v>
      </c>
    </row>
    <row r="282" spans="1:12" ht="13.5" customHeight="1">
      <c r="A282" s="145" t="s">
        <v>714</v>
      </c>
      <c r="B282" s="319"/>
      <c r="C282" s="146">
        <v>0.05</v>
      </c>
      <c r="D282" s="320" t="s">
        <v>169</v>
      </c>
      <c r="E282" s="372">
        <f t="shared" si="43"/>
        <v>10699</v>
      </c>
      <c r="F282" s="372">
        <f t="shared" si="43"/>
        <v>534</v>
      </c>
      <c r="G282" s="372">
        <v>0</v>
      </c>
      <c r="H282" s="372">
        <f>INT(G282*C282)</f>
        <v>0</v>
      </c>
      <c r="I282" s="372">
        <v>0</v>
      </c>
      <c r="J282" s="372">
        <f>INT(I282*C282)</f>
        <v>0</v>
      </c>
      <c r="K282" s="372">
        <f>SUM(H278:H281)</f>
        <v>10699</v>
      </c>
      <c r="L282" s="373">
        <f>INT(K282*C282)</f>
        <v>534</v>
      </c>
    </row>
    <row r="283" spans="1:12" ht="13.5" customHeight="1">
      <c r="A283" s="145" t="s">
        <v>617</v>
      </c>
      <c r="B283" s="319"/>
      <c r="C283" s="146"/>
      <c r="D283" s="146"/>
      <c r="E283" s="372"/>
      <c r="F283" s="372">
        <f>H283+J283+L283</f>
        <v>11878</v>
      </c>
      <c r="G283" s="372"/>
      <c r="H283" s="372">
        <f>SUM(H278:H282)</f>
        <v>10699</v>
      </c>
      <c r="I283" s="372"/>
      <c r="J283" s="372">
        <f>SUM(J278:J282)</f>
        <v>499</v>
      </c>
      <c r="K283" s="372"/>
      <c r="L283" s="373">
        <f>SUM(L278:L282)</f>
        <v>680</v>
      </c>
    </row>
    <row r="284" spans="1:12" ht="13.5" customHeight="1">
      <c r="A284" s="209"/>
      <c r="B284" s="311"/>
      <c r="C284" s="95"/>
      <c r="D284" s="95"/>
      <c r="E284" s="312">
        <f>E277+1</f>
        <v>51</v>
      </c>
      <c r="F284" s="313" t="s">
        <v>1586</v>
      </c>
      <c r="G284" s="313"/>
      <c r="H284" s="313"/>
      <c r="I284" s="313"/>
      <c r="J284" s="313" t="s">
        <v>643</v>
      </c>
      <c r="K284" s="313"/>
      <c r="L284" s="314"/>
    </row>
    <row r="285" spans="1:12" ht="13.5" customHeight="1">
      <c r="A285" s="145" t="s">
        <v>623</v>
      </c>
      <c r="B285" s="319"/>
      <c r="C285" s="146">
        <v>0.28199999999999997</v>
      </c>
      <c r="D285" s="320" t="s">
        <v>636</v>
      </c>
      <c r="E285" s="321">
        <f t="shared" ref="E285:F291" si="44">G285+I285+K285</f>
        <v>3430</v>
      </c>
      <c r="F285" s="321">
        <f t="shared" si="44"/>
        <v>967</v>
      </c>
      <c r="G285" s="321">
        <v>0</v>
      </c>
      <c r="H285" s="321">
        <f t="shared" ref="H285:H291" si="45">INT(G285*C285)</f>
        <v>0</v>
      </c>
      <c r="I285" s="321">
        <f>자재!F40</f>
        <v>3430</v>
      </c>
      <c r="J285" s="321">
        <f t="shared" ref="J285:J291" si="46">INT(I285*C285)</f>
        <v>967</v>
      </c>
      <c r="K285" s="321">
        <v>0</v>
      </c>
      <c r="L285" s="322">
        <f t="shared" ref="L285:L291" si="47">INT(K285*C285)</f>
        <v>0</v>
      </c>
    </row>
    <row r="286" spans="1:12" ht="13.5" customHeight="1">
      <c r="A286" s="145" t="s">
        <v>624</v>
      </c>
      <c r="B286" s="319"/>
      <c r="C286" s="146">
        <v>1.2E-2</v>
      </c>
      <c r="D286" s="320" t="s">
        <v>636</v>
      </c>
      <c r="E286" s="321">
        <f t="shared" si="44"/>
        <v>1778</v>
      </c>
      <c r="F286" s="321">
        <f t="shared" si="44"/>
        <v>21</v>
      </c>
      <c r="G286" s="321">
        <v>0</v>
      </c>
      <c r="H286" s="321">
        <f t="shared" si="45"/>
        <v>0</v>
      </c>
      <c r="I286" s="321">
        <f>자재!F36</f>
        <v>1778</v>
      </c>
      <c r="J286" s="321">
        <f t="shared" si="46"/>
        <v>21</v>
      </c>
      <c r="K286" s="321">
        <v>0</v>
      </c>
      <c r="L286" s="322">
        <f t="shared" si="47"/>
        <v>0</v>
      </c>
    </row>
    <row r="287" spans="1:12" ht="13.5" customHeight="1">
      <c r="A287" s="145" t="s">
        <v>625</v>
      </c>
      <c r="B287" s="319"/>
      <c r="C287" s="146">
        <v>0.06</v>
      </c>
      <c r="D287" s="320" t="s">
        <v>1018</v>
      </c>
      <c r="E287" s="321">
        <f t="shared" si="44"/>
        <v>965</v>
      </c>
      <c r="F287" s="321">
        <f t="shared" si="44"/>
        <v>57</v>
      </c>
      <c r="G287" s="321">
        <v>0</v>
      </c>
      <c r="H287" s="321">
        <f t="shared" si="45"/>
        <v>0</v>
      </c>
      <c r="I287" s="321">
        <f>자재!F47</f>
        <v>965</v>
      </c>
      <c r="J287" s="321">
        <f t="shared" si="46"/>
        <v>57</v>
      </c>
      <c r="K287" s="321">
        <v>0</v>
      </c>
      <c r="L287" s="322">
        <f t="shared" si="47"/>
        <v>0</v>
      </c>
    </row>
    <row r="288" spans="1:12" ht="13.5" customHeight="1">
      <c r="A288" s="145" t="s">
        <v>626</v>
      </c>
      <c r="B288" s="319"/>
      <c r="C288" s="146">
        <v>0.5</v>
      </c>
      <c r="D288" s="320" t="s">
        <v>1022</v>
      </c>
      <c r="E288" s="321">
        <f t="shared" si="44"/>
        <v>200</v>
      </c>
      <c r="F288" s="321">
        <f t="shared" si="44"/>
        <v>100</v>
      </c>
      <c r="G288" s="321">
        <v>0</v>
      </c>
      <c r="H288" s="321">
        <f t="shared" si="45"/>
        <v>0</v>
      </c>
      <c r="I288" s="321">
        <f>자재!F38</f>
        <v>200</v>
      </c>
      <c r="J288" s="321">
        <f t="shared" si="46"/>
        <v>100</v>
      </c>
      <c r="K288" s="321">
        <v>0</v>
      </c>
      <c r="L288" s="322">
        <f t="shared" si="47"/>
        <v>0</v>
      </c>
    </row>
    <row r="289" spans="1:12" ht="13.5" customHeight="1">
      <c r="A289" s="145" t="s">
        <v>172</v>
      </c>
      <c r="B289" s="319"/>
      <c r="C289" s="146">
        <v>7.9000000000000001E-2</v>
      </c>
      <c r="D289" s="320" t="s">
        <v>1328</v>
      </c>
      <c r="E289" s="321">
        <f t="shared" si="44"/>
        <v>253409</v>
      </c>
      <c r="F289" s="321">
        <f t="shared" si="44"/>
        <v>20019</v>
      </c>
      <c r="G289" s="321">
        <f>노임!D5</f>
        <v>253409</v>
      </c>
      <c r="H289" s="321">
        <f t="shared" si="45"/>
        <v>20019</v>
      </c>
      <c r="I289" s="321">
        <v>0</v>
      </c>
      <c r="J289" s="321">
        <f t="shared" si="46"/>
        <v>0</v>
      </c>
      <c r="K289" s="321">
        <v>0</v>
      </c>
      <c r="L289" s="322">
        <f t="shared" si="47"/>
        <v>0</v>
      </c>
    </row>
    <row r="290" spans="1:12" ht="13.5" customHeight="1">
      <c r="A290" s="145" t="s">
        <v>627</v>
      </c>
      <c r="B290" s="319" t="s">
        <v>209</v>
      </c>
      <c r="C290" s="146">
        <v>0.02</v>
      </c>
      <c r="D290" s="320"/>
      <c r="E290" s="321">
        <f t="shared" si="44"/>
        <v>20019</v>
      </c>
      <c r="F290" s="321">
        <f t="shared" si="44"/>
        <v>400</v>
      </c>
      <c r="G290" s="321">
        <v>0</v>
      </c>
      <c r="H290" s="321">
        <f t="shared" si="45"/>
        <v>0</v>
      </c>
      <c r="I290" s="321">
        <v>0</v>
      </c>
      <c r="J290" s="321">
        <f t="shared" si="46"/>
        <v>0</v>
      </c>
      <c r="K290" s="321">
        <f>H289</f>
        <v>20019</v>
      </c>
      <c r="L290" s="322">
        <f t="shared" si="47"/>
        <v>400</v>
      </c>
    </row>
    <row r="291" spans="1:12" ht="13.5" customHeight="1">
      <c r="A291" s="145" t="s">
        <v>1587</v>
      </c>
      <c r="B291" s="319" t="s">
        <v>1588</v>
      </c>
      <c r="C291" s="146">
        <v>0.05</v>
      </c>
      <c r="D291" s="320"/>
      <c r="E291" s="321">
        <f t="shared" si="44"/>
        <v>1145</v>
      </c>
      <c r="F291" s="321">
        <f t="shared" si="44"/>
        <v>57</v>
      </c>
      <c r="G291" s="321">
        <v>0</v>
      </c>
      <c r="H291" s="321">
        <f t="shared" si="45"/>
        <v>0</v>
      </c>
      <c r="I291" s="321">
        <f>J285+J286+J287+J288</f>
        <v>1145</v>
      </c>
      <c r="J291" s="321">
        <f t="shared" si="46"/>
        <v>57</v>
      </c>
      <c r="K291" s="321">
        <v>0</v>
      </c>
      <c r="L291" s="322">
        <f t="shared" si="47"/>
        <v>0</v>
      </c>
    </row>
    <row r="292" spans="1:12" ht="13.5" customHeight="1">
      <c r="A292" s="145" t="s">
        <v>617</v>
      </c>
      <c r="B292" s="319"/>
      <c r="C292" s="146"/>
      <c r="D292" s="146"/>
      <c r="E292" s="321"/>
      <c r="F292" s="321">
        <f>H292+J292+L292</f>
        <v>21621</v>
      </c>
      <c r="G292" s="321"/>
      <c r="H292" s="321">
        <f>SUM(H285:H291)</f>
        <v>20019</v>
      </c>
      <c r="I292" s="321"/>
      <c r="J292" s="321">
        <f>SUM(J285:J291)</f>
        <v>1202</v>
      </c>
      <c r="K292" s="321"/>
      <c r="L292" s="322">
        <f>SUM(L285:L291)</f>
        <v>400</v>
      </c>
    </row>
    <row r="293" spans="1:12" ht="13.5" customHeight="1">
      <c r="A293" s="209"/>
      <c r="B293" s="311"/>
      <c r="C293" s="95"/>
      <c r="D293" s="95"/>
      <c r="E293" s="312">
        <f>E284+1</f>
        <v>52</v>
      </c>
      <c r="F293" s="313" t="s">
        <v>1589</v>
      </c>
      <c r="G293" s="313"/>
      <c r="H293" s="95"/>
      <c r="I293" s="313"/>
      <c r="J293" s="313" t="s">
        <v>643</v>
      </c>
      <c r="K293" s="313"/>
      <c r="L293" s="314"/>
    </row>
    <row r="294" spans="1:12" ht="13.5" customHeight="1">
      <c r="A294" s="145" t="s">
        <v>1590</v>
      </c>
      <c r="B294" s="319"/>
      <c r="C294" s="146">
        <v>0.08</v>
      </c>
      <c r="D294" s="320" t="s">
        <v>636</v>
      </c>
      <c r="E294" s="321">
        <f>G294+I294+K294</f>
        <v>5780</v>
      </c>
      <c r="F294" s="321">
        <f>H294+J294+L294</f>
        <v>462</v>
      </c>
      <c r="G294" s="321">
        <v>0</v>
      </c>
      <c r="H294" s="321">
        <f>INT(G294*C294)</f>
        <v>0</v>
      </c>
      <c r="I294" s="321">
        <f>자재!F42</f>
        <v>5780</v>
      </c>
      <c r="J294" s="321">
        <f>INT(I294*C294)</f>
        <v>462</v>
      </c>
      <c r="K294" s="321">
        <v>0</v>
      </c>
      <c r="L294" s="322">
        <f>INT(K294*C294)</f>
        <v>0</v>
      </c>
    </row>
    <row r="295" spans="1:12" ht="13.5" customHeight="1">
      <c r="A295" s="145" t="s">
        <v>623</v>
      </c>
      <c r="B295" s="319"/>
      <c r="C295" s="146">
        <v>0.16600000000000001</v>
      </c>
      <c r="D295" s="320" t="s">
        <v>636</v>
      </c>
      <c r="E295" s="321">
        <f t="shared" ref="E295:F301" si="48">G295+I295+K295</f>
        <v>4937</v>
      </c>
      <c r="F295" s="321">
        <f t="shared" si="48"/>
        <v>819</v>
      </c>
      <c r="G295" s="321">
        <v>0</v>
      </c>
      <c r="H295" s="321">
        <f t="shared" ref="H295:H301" si="49">INT(G295*C295)</f>
        <v>0</v>
      </c>
      <c r="I295" s="321">
        <f>자재!F39</f>
        <v>4937</v>
      </c>
      <c r="J295" s="321">
        <f t="shared" ref="J295:J301" si="50">INT(I295*C295)</f>
        <v>819</v>
      </c>
      <c r="K295" s="321">
        <v>0</v>
      </c>
      <c r="L295" s="322">
        <f t="shared" ref="L295:L301" si="51">INT(K295*C295)</f>
        <v>0</v>
      </c>
    </row>
    <row r="296" spans="1:12" ht="13.5" customHeight="1">
      <c r="A296" s="145" t="s">
        <v>624</v>
      </c>
      <c r="B296" s="319"/>
      <c r="C296" s="146">
        <v>1.2E-2</v>
      </c>
      <c r="D296" s="320" t="s">
        <v>636</v>
      </c>
      <c r="E296" s="321">
        <f t="shared" si="48"/>
        <v>1778</v>
      </c>
      <c r="F296" s="321">
        <f t="shared" si="48"/>
        <v>21</v>
      </c>
      <c r="G296" s="321">
        <v>0</v>
      </c>
      <c r="H296" s="321">
        <f t="shared" si="49"/>
        <v>0</v>
      </c>
      <c r="I296" s="321">
        <f>자재!F36</f>
        <v>1778</v>
      </c>
      <c r="J296" s="321">
        <f t="shared" si="50"/>
        <v>21</v>
      </c>
      <c r="K296" s="321">
        <v>0</v>
      </c>
      <c r="L296" s="322">
        <f t="shared" si="51"/>
        <v>0</v>
      </c>
    </row>
    <row r="297" spans="1:12" ht="13.5" customHeight="1">
      <c r="A297" s="145" t="s">
        <v>625</v>
      </c>
      <c r="B297" s="319"/>
      <c r="C297" s="146">
        <v>0.08</v>
      </c>
      <c r="D297" s="320" t="s">
        <v>1018</v>
      </c>
      <c r="E297" s="321">
        <f t="shared" si="48"/>
        <v>965</v>
      </c>
      <c r="F297" s="321">
        <f t="shared" si="48"/>
        <v>77</v>
      </c>
      <c r="G297" s="321">
        <v>0</v>
      </c>
      <c r="H297" s="321">
        <f t="shared" si="49"/>
        <v>0</v>
      </c>
      <c r="I297" s="321">
        <f>자재!F47</f>
        <v>965</v>
      </c>
      <c r="J297" s="321">
        <f t="shared" si="50"/>
        <v>77</v>
      </c>
      <c r="K297" s="321">
        <v>0</v>
      </c>
      <c r="L297" s="322">
        <f t="shared" si="51"/>
        <v>0</v>
      </c>
    </row>
    <row r="298" spans="1:12" ht="13.5" customHeight="1">
      <c r="A298" s="145" t="s">
        <v>626</v>
      </c>
      <c r="B298" s="319"/>
      <c r="C298" s="146">
        <v>0.15</v>
      </c>
      <c r="D298" s="320" t="s">
        <v>1022</v>
      </c>
      <c r="E298" s="321">
        <f t="shared" si="48"/>
        <v>200</v>
      </c>
      <c r="F298" s="321">
        <f t="shared" si="48"/>
        <v>30</v>
      </c>
      <c r="G298" s="321">
        <v>0</v>
      </c>
      <c r="H298" s="321">
        <f t="shared" si="49"/>
        <v>0</v>
      </c>
      <c r="I298" s="321">
        <f>자재!F38</f>
        <v>200</v>
      </c>
      <c r="J298" s="321">
        <f t="shared" si="50"/>
        <v>30</v>
      </c>
      <c r="K298" s="321">
        <v>0</v>
      </c>
      <c r="L298" s="322">
        <f t="shared" si="51"/>
        <v>0</v>
      </c>
    </row>
    <row r="299" spans="1:12" ht="13.5" customHeight="1">
      <c r="A299" s="145" t="s">
        <v>172</v>
      </c>
      <c r="B299" s="319"/>
      <c r="C299" s="146">
        <v>6.5000000000000002E-2</v>
      </c>
      <c r="D299" s="320" t="s">
        <v>1328</v>
      </c>
      <c r="E299" s="321">
        <f t="shared" si="48"/>
        <v>253409</v>
      </c>
      <c r="F299" s="321">
        <f t="shared" si="48"/>
        <v>16471</v>
      </c>
      <c r="G299" s="321">
        <f>노임!D5</f>
        <v>253409</v>
      </c>
      <c r="H299" s="321">
        <f t="shared" si="49"/>
        <v>16471</v>
      </c>
      <c r="I299" s="321">
        <v>0</v>
      </c>
      <c r="J299" s="321">
        <f t="shared" si="50"/>
        <v>0</v>
      </c>
      <c r="K299" s="321">
        <v>0</v>
      </c>
      <c r="L299" s="322">
        <f t="shared" si="51"/>
        <v>0</v>
      </c>
    </row>
    <row r="300" spans="1:12" ht="13.5" customHeight="1">
      <c r="A300" s="145" t="s">
        <v>627</v>
      </c>
      <c r="B300" s="319" t="s">
        <v>209</v>
      </c>
      <c r="C300" s="146">
        <v>0.02</v>
      </c>
      <c r="D300" s="320"/>
      <c r="E300" s="321">
        <f t="shared" si="48"/>
        <v>16471</v>
      </c>
      <c r="F300" s="321">
        <f t="shared" si="48"/>
        <v>329</v>
      </c>
      <c r="G300" s="321">
        <v>0</v>
      </c>
      <c r="H300" s="321">
        <f t="shared" si="49"/>
        <v>0</v>
      </c>
      <c r="I300" s="321">
        <v>0</v>
      </c>
      <c r="J300" s="321">
        <f t="shared" si="50"/>
        <v>0</v>
      </c>
      <c r="K300" s="321">
        <f>H299</f>
        <v>16471</v>
      </c>
      <c r="L300" s="322">
        <f t="shared" si="51"/>
        <v>329</v>
      </c>
    </row>
    <row r="301" spans="1:12" ht="13.5" customHeight="1">
      <c r="A301" s="145" t="s">
        <v>1587</v>
      </c>
      <c r="B301" s="319" t="s">
        <v>1588</v>
      </c>
      <c r="C301" s="146">
        <v>0.05</v>
      </c>
      <c r="D301" s="320"/>
      <c r="E301" s="321">
        <f t="shared" si="48"/>
        <v>1409</v>
      </c>
      <c r="F301" s="321">
        <f t="shared" si="48"/>
        <v>70</v>
      </c>
      <c r="G301" s="321">
        <v>0</v>
      </c>
      <c r="H301" s="321">
        <f t="shared" si="49"/>
        <v>0</v>
      </c>
      <c r="I301" s="321">
        <f>J294+J295+J296+J297+J298</f>
        <v>1409</v>
      </c>
      <c r="J301" s="321">
        <f t="shared" si="50"/>
        <v>70</v>
      </c>
      <c r="K301" s="321">
        <v>0</v>
      </c>
      <c r="L301" s="322">
        <f t="shared" si="51"/>
        <v>0</v>
      </c>
    </row>
    <row r="302" spans="1:12" ht="13.5" customHeight="1">
      <c r="A302" s="145" t="s">
        <v>617</v>
      </c>
      <c r="B302" s="319"/>
      <c r="C302" s="146"/>
      <c r="D302" s="146"/>
      <c r="E302" s="321"/>
      <c r="F302" s="321">
        <f>H302+J302+L302</f>
        <v>18279</v>
      </c>
      <c r="G302" s="321"/>
      <c r="H302" s="321">
        <f>SUM(H294:H301)</f>
        <v>16471</v>
      </c>
      <c r="I302" s="321"/>
      <c r="J302" s="321">
        <f>SUM(J294:J301)</f>
        <v>1479</v>
      </c>
      <c r="K302" s="321"/>
      <c r="L302" s="322">
        <f>SUM(L294:L301)</f>
        <v>329</v>
      </c>
    </row>
    <row r="303" spans="1:12" ht="13.5" customHeight="1">
      <c r="A303" s="209"/>
      <c r="B303" s="311"/>
      <c r="C303" s="95"/>
      <c r="D303" s="95"/>
      <c r="E303" s="312">
        <f>E293+1</f>
        <v>53</v>
      </c>
      <c r="F303" s="313" t="s">
        <v>1279</v>
      </c>
      <c r="G303" s="313"/>
      <c r="H303" s="95"/>
      <c r="I303" s="313"/>
      <c r="J303" s="313" t="s">
        <v>517</v>
      </c>
      <c r="K303" s="313"/>
      <c r="L303" s="314"/>
    </row>
    <row r="304" spans="1:12" ht="13.5" customHeight="1">
      <c r="A304" s="145" t="s">
        <v>1235</v>
      </c>
      <c r="B304" s="319"/>
      <c r="C304" s="146">
        <v>6.7</v>
      </c>
      <c r="D304" s="320" t="s">
        <v>1018</v>
      </c>
      <c r="E304" s="321">
        <f t="shared" ref="E304:F308" si="52">G304+I304+K304</f>
        <v>1849</v>
      </c>
      <c r="F304" s="321">
        <f t="shared" si="52"/>
        <v>12388</v>
      </c>
      <c r="G304" s="321">
        <v>0</v>
      </c>
      <c r="H304" s="321">
        <f>INT(G304*C304)</f>
        <v>0</v>
      </c>
      <c r="I304" s="321">
        <f>자재!F187</f>
        <v>1849</v>
      </c>
      <c r="J304" s="321">
        <f>INT(I304*C304)</f>
        <v>12388</v>
      </c>
      <c r="K304" s="321">
        <v>0</v>
      </c>
      <c r="L304" s="322">
        <f>INT(K304*C304)</f>
        <v>0</v>
      </c>
    </row>
    <row r="305" spans="1:12" ht="13.5" customHeight="1">
      <c r="A305" s="145" t="s">
        <v>170</v>
      </c>
      <c r="B305" s="319"/>
      <c r="C305" s="146">
        <v>13.86</v>
      </c>
      <c r="D305" s="320" t="s">
        <v>1328</v>
      </c>
      <c r="E305" s="321">
        <f t="shared" si="52"/>
        <v>278326</v>
      </c>
      <c r="F305" s="321">
        <f t="shared" si="52"/>
        <v>3857598</v>
      </c>
      <c r="G305" s="321">
        <f>노임!F11</f>
        <v>278326</v>
      </c>
      <c r="H305" s="321">
        <f>INT(G305*C305)</f>
        <v>3857598</v>
      </c>
      <c r="I305" s="321">
        <v>0</v>
      </c>
      <c r="J305" s="321">
        <f>INT(I305*C305)</f>
        <v>0</v>
      </c>
      <c r="K305" s="321">
        <v>0</v>
      </c>
      <c r="L305" s="322">
        <f>INT(K305*C305)</f>
        <v>0</v>
      </c>
    </row>
    <row r="306" spans="1:12" ht="13.5" customHeight="1">
      <c r="A306" s="145" t="s">
        <v>171</v>
      </c>
      <c r="B306" s="319"/>
      <c r="C306" s="146">
        <v>7.7</v>
      </c>
      <c r="D306" s="320" t="s">
        <v>1328</v>
      </c>
      <c r="E306" s="321">
        <f t="shared" si="52"/>
        <v>226122</v>
      </c>
      <c r="F306" s="321">
        <f t="shared" si="52"/>
        <v>1741139</v>
      </c>
      <c r="G306" s="321">
        <f>노임!D13</f>
        <v>226122</v>
      </c>
      <c r="H306" s="321">
        <f>INT(G306*C306)</f>
        <v>1741139</v>
      </c>
      <c r="I306" s="321">
        <v>0</v>
      </c>
      <c r="J306" s="321">
        <f>INT(I306*C306)</f>
        <v>0</v>
      </c>
      <c r="K306" s="321">
        <v>0</v>
      </c>
      <c r="L306" s="322">
        <f>INT(K306*C306)</f>
        <v>0</v>
      </c>
    </row>
    <row r="307" spans="1:12" ht="13.5" customHeight="1">
      <c r="A307" s="145" t="s">
        <v>1329</v>
      </c>
      <c r="B307" s="319"/>
      <c r="C307" s="146">
        <v>8.98</v>
      </c>
      <c r="D307" s="320" t="s">
        <v>1328</v>
      </c>
      <c r="E307" s="321">
        <f t="shared" si="52"/>
        <v>172068</v>
      </c>
      <c r="F307" s="321">
        <f t="shared" si="52"/>
        <v>1545170</v>
      </c>
      <c r="G307" s="321">
        <f>노임!D14</f>
        <v>172068</v>
      </c>
      <c r="H307" s="321">
        <f>INT(G307*C307)</f>
        <v>1545170</v>
      </c>
      <c r="I307" s="321">
        <v>0</v>
      </c>
      <c r="J307" s="321">
        <f>INT(I307*C307)</f>
        <v>0</v>
      </c>
      <c r="K307" s="321">
        <v>0</v>
      </c>
      <c r="L307" s="322">
        <f>INT(K307*C307)</f>
        <v>0</v>
      </c>
    </row>
    <row r="308" spans="1:12" ht="13.5" customHeight="1">
      <c r="A308" s="145" t="s">
        <v>627</v>
      </c>
      <c r="B308" s="319"/>
      <c r="C308" s="146">
        <v>0.03</v>
      </c>
      <c r="D308" s="320" t="s">
        <v>169</v>
      </c>
      <c r="E308" s="321">
        <f t="shared" si="52"/>
        <v>7143907</v>
      </c>
      <c r="F308" s="321">
        <f t="shared" si="52"/>
        <v>214317</v>
      </c>
      <c r="G308" s="321">
        <v>0</v>
      </c>
      <c r="H308" s="321">
        <f>INT(G308*C308)</f>
        <v>0</v>
      </c>
      <c r="I308" s="321">
        <v>0</v>
      </c>
      <c r="J308" s="321">
        <f>INT(I308*C308)</f>
        <v>0</v>
      </c>
      <c r="K308" s="321">
        <f>SUM(H304:H307)</f>
        <v>7143907</v>
      </c>
      <c r="L308" s="322">
        <f>INT(K308*C308)</f>
        <v>214317</v>
      </c>
    </row>
    <row r="309" spans="1:12" ht="13.5" customHeight="1">
      <c r="A309" s="145" t="s">
        <v>617</v>
      </c>
      <c r="B309" s="319"/>
      <c r="C309" s="146"/>
      <c r="D309" s="146"/>
      <c r="E309" s="321"/>
      <c r="F309" s="321">
        <f>H309+J309+L309</f>
        <v>7370612</v>
      </c>
      <c r="G309" s="321"/>
      <c r="H309" s="321">
        <f>SUM(H304:H308)</f>
        <v>7143907</v>
      </c>
      <c r="I309" s="321"/>
      <c r="J309" s="321">
        <f>SUM(J304:J308)</f>
        <v>12388</v>
      </c>
      <c r="K309" s="321"/>
      <c r="L309" s="322">
        <f>SUM(L304:L308)</f>
        <v>214317</v>
      </c>
    </row>
    <row r="310" spans="1:12" ht="13.5" customHeight="1">
      <c r="A310" s="209"/>
      <c r="B310" s="311"/>
      <c r="C310" s="95"/>
      <c r="D310" s="95"/>
      <c r="E310" s="312">
        <f>E303+1</f>
        <v>54</v>
      </c>
      <c r="F310" s="313" t="s">
        <v>1315</v>
      </c>
      <c r="G310" s="313"/>
      <c r="H310" s="95"/>
      <c r="I310" s="313"/>
      <c r="J310" s="313" t="s">
        <v>517</v>
      </c>
      <c r="K310" s="313"/>
      <c r="L310" s="314"/>
    </row>
    <row r="311" spans="1:12" ht="13.5" customHeight="1">
      <c r="A311" s="145" t="s">
        <v>1235</v>
      </c>
      <c r="B311" s="319"/>
      <c r="C311" s="146">
        <v>15.71</v>
      </c>
      <c r="D311" s="320" t="s">
        <v>1018</v>
      </c>
      <c r="E311" s="321">
        <f t="shared" ref="E311:F320" si="53">G311+I311+K311</f>
        <v>1849</v>
      </c>
      <c r="F311" s="321">
        <f t="shared" si="53"/>
        <v>29047</v>
      </c>
      <c r="G311" s="321">
        <v>0</v>
      </c>
      <c r="H311" s="321">
        <f t="shared" ref="H311:H319" si="54">INT(G311*C311)</f>
        <v>0</v>
      </c>
      <c r="I311" s="321">
        <f>자재!F187</f>
        <v>1849</v>
      </c>
      <c r="J311" s="321">
        <f t="shared" ref="J311:J319" si="55">INT(I311*C311)</f>
        <v>29047</v>
      </c>
      <c r="K311" s="321">
        <v>0</v>
      </c>
      <c r="L311" s="322">
        <f t="shared" ref="L311:L319" si="56">INT(K311*C311)</f>
        <v>0</v>
      </c>
    </row>
    <row r="312" spans="1:12" ht="13.5" customHeight="1">
      <c r="A312" s="145" t="s">
        <v>1236</v>
      </c>
      <c r="B312" s="319" t="s">
        <v>1237</v>
      </c>
      <c r="C312" s="146">
        <v>0.89249999999999996</v>
      </c>
      <c r="D312" s="320" t="s">
        <v>1238</v>
      </c>
      <c r="E312" s="321">
        <f t="shared" si="53"/>
        <v>10000</v>
      </c>
      <c r="F312" s="321">
        <f t="shared" si="53"/>
        <v>8925</v>
      </c>
      <c r="G312" s="321">
        <v>0</v>
      </c>
      <c r="H312" s="321">
        <f t="shared" si="54"/>
        <v>0</v>
      </c>
      <c r="I312" s="321">
        <f>자재!F24</f>
        <v>10000</v>
      </c>
      <c r="J312" s="321">
        <f t="shared" si="55"/>
        <v>8925</v>
      </c>
      <c r="K312" s="321">
        <v>0</v>
      </c>
      <c r="L312" s="322">
        <f t="shared" si="56"/>
        <v>0</v>
      </c>
    </row>
    <row r="313" spans="1:12" ht="13.5" customHeight="1">
      <c r="A313" s="145" t="s">
        <v>1239</v>
      </c>
      <c r="B313" s="319"/>
      <c r="C313" s="146">
        <v>2.4</v>
      </c>
      <c r="D313" s="320" t="s">
        <v>1018</v>
      </c>
      <c r="E313" s="321">
        <f t="shared" si="53"/>
        <v>9500</v>
      </c>
      <c r="F313" s="321">
        <f t="shared" si="53"/>
        <v>22800</v>
      </c>
      <c r="G313" s="321">
        <v>0</v>
      </c>
      <c r="H313" s="321">
        <f t="shared" si="54"/>
        <v>0</v>
      </c>
      <c r="I313" s="321">
        <f>자재!F23</f>
        <v>9500</v>
      </c>
      <c r="J313" s="321">
        <f t="shared" si="55"/>
        <v>22800</v>
      </c>
      <c r="K313" s="321">
        <v>0</v>
      </c>
      <c r="L313" s="322">
        <f t="shared" si="56"/>
        <v>0</v>
      </c>
    </row>
    <row r="314" spans="1:12" ht="13.5" customHeight="1">
      <c r="A314" s="145" t="s">
        <v>1240</v>
      </c>
      <c r="B314" s="319"/>
      <c r="C314" s="146">
        <v>21.8</v>
      </c>
      <c r="D314" s="320" t="s">
        <v>1328</v>
      </c>
      <c r="E314" s="321">
        <f t="shared" si="53"/>
        <v>239808</v>
      </c>
      <c r="F314" s="321">
        <f t="shared" si="53"/>
        <v>5227814</v>
      </c>
      <c r="G314" s="321">
        <f>노임!B6</f>
        <v>239808</v>
      </c>
      <c r="H314" s="321">
        <f t="shared" si="54"/>
        <v>5227814</v>
      </c>
      <c r="I314" s="321">
        <v>0</v>
      </c>
      <c r="J314" s="321">
        <f t="shared" si="55"/>
        <v>0</v>
      </c>
      <c r="K314" s="321">
        <v>0</v>
      </c>
      <c r="L314" s="322">
        <f t="shared" si="56"/>
        <v>0</v>
      </c>
    </row>
    <row r="315" spans="1:12" ht="13.5" customHeight="1">
      <c r="A315" s="145" t="s">
        <v>1329</v>
      </c>
      <c r="B315" s="319"/>
      <c r="C315" s="146">
        <v>0.56000000000000005</v>
      </c>
      <c r="D315" s="320" t="s">
        <v>1328</v>
      </c>
      <c r="E315" s="321">
        <f t="shared" si="53"/>
        <v>172068</v>
      </c>
      <c r="F315" s="321">
        <f t="shared" si="53"/>
        <v>96358</v>
      </c>
      <c r="G315" s="321">
        <f>노임!D14</f>
        <v>172068</v>
      </c>
      <c r="H315" s="321">
        <f t="shared" si="54"/>
        <v>96358</v>
      </c>
      <c r="I315" s="321">
        <v>0</v>
      </c>
      <c r="J315" s="321">
        <f t="shared" si="55"/>
        <v>0</v>
      </c>
      <c r="K315" s="321">
        <v>0</v>
      </c>
      <c r="L315" s="322">
        <f t="shared" si="56"/>
        <v>0</v>
      </c>
    </row>
    <row r="316" spans="1:12" ht="13.5" customHeight="1">
      <c r="A316" s="145" t="s">
        <v>170</v>
      </c>
      <c r="B316" s="319"/>
      <c r="C316" s="146">
        <v>2.21</v>
      </c>
      <c r="D316" s="320" t="s">
        <v>1328</v>
      </c>
      <c r="E316" s="321">
        <f t="shared" si="53"/>
        <v>278326</v>
      </c>
      <c r="F316" s="321">
        <f t="shared" si="53"/>
        <v>615100</v>
      </c>
      <c r="G316" s="321">
        <f>노임!F11</f>
        <v>278326</v>
      </c>
      <c r="H316" s="321">
        <f t="shared" si="54"/>
        <v>615100</v>
      </c>
      <c r="I316" s="321">
        <v>0</v>
      </c>
      <c r="J316" s="321">
        <f t="shared" si="55"/>
        <v>0</v>
      </c>
      <c r="K316" s="321">
        <v>0</v>
      </c>
      <c r="L316" s="322">
        <f t="shared" si="56"/>
        <v>0</v>
      </c>
    </row>
    <row r="317" spans="1:12" ht="13.5" customHeight="1">
      <c r="A317" s="145" t="s">
        <v>171</v>
      </c>
      <c r="B317" s="319"/>
      <c r="C317" s="146">
        <v>0.63</v>
      </c>
      <c r="D317" s="320" t="s">
        <v>1328</v>
      </c>
      <c r="E317" s="321">
        <f t="shared" si="53"/>
        <v>226122</v>
      </c>
      <c r="F317" s="321">
        <f t="shared" si="53"/>
        <v>142456</v>
      </c>
      <c r="G317" s="321">
        <f>노임!D13</f>
        <v>226122</v>
      </c>
      <c r="H317" s="321">
        <f t="shared" si="54"/>
        <v>142456</v>
      </c>
      <c r="I317" s="321">
        <v>0</v>
      </c>
      <c r="J317" s="321">
        <f t="shared" si="55"/>
        <v>0</v>
      </c>
      <c r="K317" s="321">
        <v>0</v>
      </c>
      <c r="L317" s="322">
        <f t="shared" si="56"/>
        <v>0</v>
      </c>
    </row>
    <row r="318" spans="1:12" ht="13.5" customHeight="1">
      <c r="A318" s="145" t="s">
        <v>1342</v>
      </c>
      <c r="B318" s="319"/>
      <c r="C318" s="146">
        <v>17.71</v>
      </c>
      <c r="D318" s="320" t="s">
        <v>605</v>
      </c>
      <c r="E318" s="321">
        <f t="shared" si="53"/>
        <v>80</v>
      </c>
      <c r="F318" s="321">
        <f t="shared" si="53"/>
        <v>1416</v>
      </c>
      <c r="G318" s="321">
        <v>0</v>
      </c>
      <c r="H318" s="321">
        <f t="shared" si="54"/>
        <v>0</v>
      </c>
      <c r="I318" s="321">
        <v>0</v>
      </c>
      <c r="J318" s="321">
        <f t="shared" si="55"/>
        <v>0</v>
      </c>
      <c r="K318" s="321">
        <f>중기일람!F33</f>
        <v>80</v>
      </c>
      <c r="L318" s="322">
        <f t="shared" si="56"/>
        <v>1416</v>
      </c>
    </row>
    <row r="319" spans="1:12" ht="13.5" customHeight="1">
      <c r="A319" s="145" t="s">
        <v>1343</v>
      </c>
      <c r="B319" s="319"/>
      <c r="C319" s="146">
        <v>107.1</v>
      </c>
      <c r="D319" s="320" t="s">
        <v>1344</v>
      </c>
      <c r="E319" s="321">
        <f t="shared" si="53"/>
        <v>77</v>
      </c>
      <c r="F319" s="321">
        <f t="shared" si="53"/>
        <v>8246</v>
      </c>
      <c r="G319" s="321">
        <v>0</v>
      </c>
      <c r="H319" s="321">
        <f t="shared" si="54"/>
        <v>0</v>
      </c>
      <c r="I319" s="321">
        <v>0</v>
      </c>
      <c r="J319" s="321">
        <f t="shared" si="55"/>
        <v>0</v>
      </c>
      <c r="K319" s="321">
        <v>77</v>
      </c>
      <c r="L319" s="322">
        <f t="shared" si="56"/>
        <v>8246</v>
      </c>
    </row>
    <row r="320" spans="1:12" ht="13.5" customHeight="1">
      <c r="A320" s="145" t="s">
        <v>627</v>
      </c>
      <c r="B320" s="319"/>
      <c r="C320" s="146">
        <v>0.03</v>
      </c>
      <c r="D320" s="320" t="s">
        <v>169</v>
      </c>
      <c r="E320" s="321">
        <f t="shared" si="53"/>
        <v>6081728</v>
      </c>
      <c r="F320" s="321">
        <f t="shared" si="53"/>
        <v>182451</v>
      </c>
      <c r="G320" s="321">
        <v>0</v>
      </c>
      <c r="H320" s="321">
        <f>INT(G320*C320)</f>
        <v>0</v>
      </c>
      <c r="I320" s="321">
        <v>0</v>
      </c>
      <c r="J320" s="321">
        <f>INT(I320*C320)</f>
        <v>0</v>
      </c>
      <c r="K320" s="321">
        <f>SUM(H314:H319)</f>
        <v>6081728</v>
      </c>
      <c r="L320" s="322">
        <f>INT(K320*C320)</f>
        <v>182451</v>
      </c>
    </row>
    <row r="321" spans="1:12" ht="13.5" customHeight="1">
      <c r="A321" s="145" t="s">
        <v>617</v>
      </c>
      <c r="B321" s="319"/>
      <c r="C321" s="146"/>
      <c r="D321" s="146"/>
      <c r="E321" s="321"/>
      <c r="F321" s="321">
        <f>H321+J321+L321</f>
        <v>6334613</v>
      </c>
      <c r="G321" s="321"/>
      <c r="H321" s="321">
        <f>SUM(H311:H320)</f>
        <v>6081728</v>
      </c>
      <c r="I321" s="321"/>
      <c r="J321" s="321">
        <f>SUM(J311:J320)</f>
        <v>60772</v>
      </c>
      <c r="K321" s="321"/>
      <c r="L321" s="322">
        <f>SUM(L311:L320)</f>
        <v>192113</v>
      </c>
    </row>
    <row r="322" spans="1:12" ht="13.5" customHeight="1">
      <c r="A322" s="209"/>
      <c r="B322" s="311"/>
      <c r="C322" s="95"/>
      <c r="D322" s="95"/>
      <c r="E322" s="312">
        <f>E310+1</f>
        <v>55</v>
      </c>
      <c r="F322" s="313" t="s">
        <v>1592</v>
      </c>
      <c r="G322" s="313"/>
      <c r="H322" s="95"/>
      <c r="I322" s="313"/>
      <c r="J322" s="313" t="s">
        <v>1280</v>
      </c>
      <c r="K322" s="313"/>
      <c r="L322" s="314"/>
    </row>
    <row r="323" spans="1:12" ht="13.5" customHeight="1">
      <c r="A323" s="145" t="s">
        <v>1235</v>
      </c>
      <c r="B323" s="319"/>
      <c r="C323" s="146">
        <v>18.48</v>
      </c>
      <c r="D323" s="320" t="s">
        <v>1018</v>
      </c>
      <c r="E323" s="321">
        <f t="shared" ref="E323:F331" si="57">G323+I323+K323</f>
        <v>1849</v>
      </c>
      <c r="F323" s="321">
        <f t="shared" si="57"/>
        <v>34169</v>
      </c>
      <c r="G323" s="321">
        <v>0</v>
      </c>
      <c r="H323" s="321">
        <f t="shared" ref="H323:H331" si="58">INT(G323*C323)</f>
        <v>0</v>
      </c>
      <c r="I323" s="321">
        <f>자재!F187</f>
        <v>1849</v>
      </c>
      <c r="J323" s="321">
        <f t="shared" ref="J323:J331" si="59">INT(I323*C323)</f>
        <v>34169</v>
      </c>
      <c r="K323" s="321">
        <v>0</v>
      </c>
      <c r="L323" s="322">
        <f t="shared" ref="L323:L331" si="60">INT(K323*C323)</f>
        <v>0</v>
      </c>
    </row>
    <row r="324" spans="1:12" ht="13.5" customHeight="1">
      <c r="A324" s="145" t="s">
        <v>1236</v>
      </c>
      <c r="B324" s="319" t="s">
        <v>1593</v>
      </c>
      <c r="C324" s="146">
        <v>1.05</v>
      </c>
      <c r="D324" s="320" t="s">
        <v>1238</v>
      </c>
      <c r="E324" s="321">
        <f t="shared" si="57"/>
        <v>10000</v>
      </c>
      <c r="F324" s="321">
        <f t="shared" si="57"/>
        <v>10500</v>
      </c>
      <c r="G324" s="321">
        <v>0</v>
      </c>
      <c r="H324" s="321">
        <f t="shared" si="58"/>
        <v>0</v>
      </c>
      <c r="I324" s="321">
        <f>자재!F24</f>
        <v>10000</v>
      </c>
      <c r="J324" s="321">
        <f t="shared" si="59"/>
        <v>10500</v>
      </c>
      <c r="K324" s="321">
        <v>0</v>
      </c>
      <c r="L324" s="322">
        <f t="shared" si="60"/>
        <v>0</v>
      </c>
    </row>
    <row r="325" spans="1:12" ht="13.5" customHeight="1">
      <c r="A325" s="145" t="s">
        <v>1239</v>
      </c>
      <c r="B325" s="319"/>
      <c r="C325" s="146">
        <v>2.8</v>
      </c>
      <c r="D325" s="320" t="s">
        <v>1018</v>
      </c>
      <c r="E325" s="321">
        <f t="shared" si="57"/>
        <v>9500</v>
      </c>
      <c r="F325" s="321">
        <f t="shared" si="57"/>
        <v>26600</v>
      </c>
      <c r="G325" s="321">
        <v>0</v>
      </c>
      <c r="H325" s="321">
        <f t="shared" si="58"/>
        <v>0</v>
      </c>
      <c r="I325" s="321">
        <f>자재!F23</f>
        <v>9500</v>
      </c>
      <c r="J325" s="321">
        <f t="shared" si="59"/>
        <v>26600</v>
      </c>
      <c r="K325" s="321">
        <v>0</v>
      </c>
      <c r="L325" s="322">
        <f t="shared" si="60"/>
        <v>0</v>
      </c>
    </row>
    <row r="326" spans="1:12" ht="13.5" customHeight="1">
      <c r="A326" s="145" t="s">
        <v>1240</v>
      </c>
      <c r="B326" s="319"/>
      <c r="C326" s="146">
        <v>27.65</v>
      </c>
      <c r="D326" s="320" t="s">
        <v>1328</v>
      </c>
      <c r="E326" s="321">
        <f t="shared" si="57"/>
        <v>239808</v>
      </c>
      <c r="F326" s="321">
        <f t="shared" si="57"/>
        <v>6630691</v>
      </c>
      <c r="G326" s="321">
        <f>노임!B6</f>
        <v>239808</v>
      </c>
      <c r="H326" s="321">
        <f t="shared" si="58"/>
        <v>6630691</v>
      </c>
      <c r="I326" s="321">
        <v>0</v>
      </c>
      <c r="J326" s="321">
        <f t="shared" si="59"/>
        <v>0</v>
      </c>
      <c r="K326" s="321">
        <v>0</v>
      </c>
      <c r="L326" s="322">
        <f t="shared" si="60"/>
        <v>0</v>
      </c>
    </row>
    <row r="327" spans="1:12" ht="13.5" customHeight="1">
      <c r="A327" s="145" t="s">
        <v>1329</v>
      </c>
      <c r="B327" s="319"/>
      <c r="C327" s="146">
        <v>0.66</v>
      </c>
      <c r="D327" s="320" t="s">
        <v>1328</v>
      </c>
      <c r="E327" s="321">
        <f t="shared" si="57"/>
        <v>172068</v>
      </c>
      <c r="F327" s="321">
        <f t="shared" si="57"/>
        <v>113564</v>
      </c>
      <c r="G327" s="321">
        <f>노임!D14</f>
        <v>172068</v>
      </c>
      <c r="H327" s="321">
        <f t="shared" si="58"/>
        <v>113564</v>
      </c>
      <c r="I327" s="321">
        <v>0</v>
      </c>
      <c r="J327" s="321">
        <f t="shared" si="59"/>
        <v>0</v>
      </c>
      <c r="K327" s="321">
        <v>0</v>
      </c>
      <c r="L327" s="322">
        <f t="shared" si="60"/>
        <v>0</v>
      </c>
    </row>
    <row r="328" spans="1:12" ht="13.5" customHeight="1">
      <c r="A328" s="145" t="s">
        <v>170</v>
      </c>
      <c r="B328" s="319"/>
      <c r="C328" s="146">
        <v>2.6</v>
      </c>
      <c r="D328" s="320" t="s">
        <v>1328</v>
      </c>
      <c r="E328" s="321">
        <f t="shared" si="57"/>
        <v>278326</v>
      </c>
      <c r="F328" s="321">
        <f t="shared" si="57"/>
        <v>723647</v>
      </c>
      <c r="G328" s="321">
        <f>노임!F11</f>
        <v>278326</v>
      </c>
      <c r="H328" s="321">
        <f t="shared" si="58"/>
        <v>723647</v>
      </c>
      <c r="I328" s="321">
        <v>0</v>
      </c>
      <c r="J328" s="321">
        <f t="shared" si="59"/>
        <v>0</v>
      </c>
      <c r="K328" s="321">
        <v>0</v>
      </c>
      <c r="L328" s="322">
        <f t="shared" si="60"/>
        <v>0</v>
      </c>
    </row>
    <row r="329" spans="1:12" ht="13.5" customHeight="1">
      <c r="A329" s="145" t="s">
        <v>171</v>
      </c>
      <c r="B329" s="319"/>
      <c r="C329" s="146">
        <v>0.74</v>
      </c>
      <c r="D329" s="320" t="s">
        <v>1328</v>
      </c>
      <c r="E329" s="321">
        <f t="shared" si="57"/>
        <v>226122</v>
      </c>
      <c r="F329" s="321">
        <f t="shared" si="57"/>
        <v>167330</v>
      </c>
      <c r="G329" s="321">
        <f>노임!D13</f>
        <v>226122</v>
      </c>
      <c r="H329" s="321">
        <f t="shared" si="58"/>
        <v>167330</v>
      </c>
      <c r="I329" s="321">
        <v>0</v>
      </c>
      <c r="J329" s="321">
        <f t="shared" si="59"/>
        <v>0</v>
      </c>
      <c r="K329" s="321">
        <v>0</v>
      </c>
      <c r="L329" s="322">
        <f t="shared" si="60"/>
        <v>0</v>
      </c>
    </row>
    <row r="330" spans="1:12" ht="13.5" customHeight="1">
      <c r="A330" s="145" t="s">
        <v>1342</v>
      </c>
      <c r="B330" s="319"/>
      <c r="C330" s="146">
        <v>20.83</v>
      </c>
      <c r="D330" s="320" t="s">
        <v>605</v>
      </c>
      <c r="E330" s="321">
        <f t="shared" si="57"/>
        <v>80</v>
      </c>
      <c r="F330" s="321">
        <f t="shared" si="57"/>
        <v>1666</v>
      </c>
      <c r="G330" s="321">
        <v>0</v>
      </c>
      <c r="H330" s="321">
        <f t="shared" si="58"/>
        <v>0</v>
      </c>
      <c r="I330" s="321">
        <v>0</v>
      </c>
      <c r="J330" s="321">
        <f t="shared" si="59"/>
        <v>0</v>
      </c>
      <c r="K330" s="321">
        <f>중기일람!F33</f>
        <v>80</v>
      </c>
      <c r="L330" s="322">
        <f t="shared" si="60"/>
        <v>1666</v>
      </c>
    </row>
    <row r="331" spans="1:12" ht="13.5" customHeight="1">
      <c r="A331" s="145" t="s">
        <v>1343</v>
      </c>
      <c r="B331" s="319"/>
      <c r="C331" s="146">
        <v>126</v>
      </c>
      <c r="D331" s="320" t="s">
        <v>1344</v>
      </c>
      <c r="E331" s="321">
        <f t="shared" si="57"/>
        <v>77</v>
      </c>
      <c r="F331" s="321">
        <f t="shared" si="57"/>
        <v>9702</v>
      </c>
      <c r="G331" s="321">
        <v>0</v>
      </c>
      <c r="H331" s="321">
        <f t="shared" si="58"/>
        <v>0</v>
      </c>
      <c r="I331" s="321">
        <v>0</v>
      </c>
      <c r="J331" s="321">
        <f t="shared" si="59"/>
        <v>0</v>
      </c>
      <c r="K331" s="321">
        <v>77</v>
      </c>
      <c r="L331" s="322">
        <f t="shared" si="60"/>
        <v>9702</v>
      </c>
    </row>
    <row r="332" spans="1:12" ht="13.5" customHeight="1">
      <c r="A332" s="145" t="s">
        <v>627</v>
      </c>
      <c r="B332" s="319"/>
      <c r="C332" s="146">
        <v>0.03</v>
      </c>
      <c r="D332" s="414">
        <v>0.03</v>
      </c>
      <c r="E332" s="321">
        <f>G332+I332+K332</f>
        <v>7635232</v>
      </c>
      <c r="F332" s="321">
        <f>H332+J332+L332</f>
        <v>229056</v>
      </c>
      <c r="G332" s="321">
        <v>0</v>
      </c>
      <c r="H332" s="321">
        <f>INT(G332*C332)</f>
        <v>0</v>
      </c>
      <c r="I332" s="321">
        <v>0</v>
      </c>
      <c r="J332" s="321">
        <f>INT(I332*C332)</f>
        <v>0</v>
      </c>
      <c r="K332" s="321">
        <f>SUM(H323:H331)</f>
        <v>7635232</v>
      </c>
      <c r="L332" s="322">
        <f>INT(K332*C332)</f>
        <v>229056</v>
      </c>
    </row>
    <row r="333" spans="1:12" ht="13.5" customHeight="1">
      <c r="A333" s="154" t="s">
        <v>617</v>
      </c>
      <c r="B333" s="327"/>
      <c r="C333" s="158"/>
      <c r="D333" s="158"/>
      <c r="E333" s="328"/>
      <c r="F333" s="328">
        <f>H333+J333+L333</f>
        <v>7946925</v>
      </c>
      <c r="G333" s="328"/>
      <c r="H333" s="328">
        <f>SUM(H323:H332)</f>
        <v>7635232</v>
      </c>
      <c r="I333" s="328"/>
      <c r="J333" s="328">
        <f>SUM(J323:J332)</f>
        <v>71269</v>
      </c>
      <c r="K333" s="328"/>
      <c r="L333" s="329">
        <f>SUM(L323:L332)</f>
        <v>240424</v>
      </c>
    </row>
    <row r="334" spans="1:12" ht="13.5" customHeight="1">
      <c r="A334" s="209"/>
      <c r="B334" s="311"/>
      <c r="C334" s="95"/>
      <c r="D334" s="95"/>
      <c r="E334" s="312">
        <f>E322+1</f>
        <v>56</v>
      </c>
      <c r="F334" s="313" t="s">
        <v>421</v>
      </c>
      <c r="G334" s="313"/>
      <c r="H334" s="95"/>
      <c r="I334" s="313"/>
      <c r="J334" s="313" t="s">
        <v>399</v>
      </c>
      <c r="K334" s="313"/>
      <c r="L334" s="314"/>
    </row>
    <row r="335" spans="1:12" ht="13.5" customHeight="1">
      <c r="A335" s="145" t="s">
        <v>1366</v>
      </c>
      <c r="B335" s="319"/>
      <c r="C335" s="147">
        <v>0.1</v>
      </c>
      <c r="D335" s="320" t="s">
        <v>501</v>
      </c>
      <c r="E335" s="321">
        <f t="shared" ref="E335:F338" si="61">G335+I335+K335</f>
        <v>272931</v>
      </c>
      <c r="F335" s="321">
        <f t="shared" si="61"/>
        <v>27293</v>
      </c>
      <c r="G335" s="321">
        <f>노임!B4</f>
        <v>272931</v>
      </c>
      <c r="H335" s="321">
        <f>INT(G335*C335)</f>
        <v>27293</v>
      </c>
      <c r="I335" s="321">
        <v>0</v>
      </c>
      <c r="J335" s="321">
        <f>INT(I335*C335)</f>
        <v>0</v>
      </c>
      <c r="K335" s="321">
        <v>0</v>
      </c>
      <c r="L335" s="322">
        <f>INT(K335*C335)</f>
        <v>0</v>
      </c>
    </row>
    <row r="336" spans="1:12" ht="13.5" customHeight="1">
      <c r="A336" s="145" t="s">
        <v>500</v>
      </c>
      <c r="B336" s="319"/>
      <c r="C336" s="146">
        <v>0.03</v>
      </c>
      <c r="D336" s="320" t="s">
        <v>424</v>
      </c>
      <c r="E336" s="321">
        <f t="shared" si="61"/>
        <v>172068</v>
      </c>
      <c r="F336" s="321">
        <f t="shared" si="61"/>
        <v>5162</v>
      </c>
      <c r="G336" s="321">
        <f>노임!D14</f>
        <v>172068</v>
      </c>
      <c r="H336" s="321">
        <f>INT(G336*C336)</f>
        <v>5162</v>
      </c>
      <c r="I336" s="321">
        <v>0</v>
      </c>
      <c r="J336" s="321">
        <f>INT(I336*C336)</f>
        <v>0</v>
      </c>
      <c r="K336" s="321">
        <v>0</v>
      </c>
      <c r="L336" s="322">
        <f>INT(K336*C336)</f>
        <v>0</v>
      </c>
    </row>
    <row r="337" spans="1:12" ht="13.5" customHeight="1">
      <c r="A337" s="145" t="s">
        <v>714</v>
      </c>
      <c r="B337" s="319" t="s">
        <v>425</v>
      </c>
      <c r="C337" s="146">
        <v>0.03</v>
      </c>
      <c r="D337" s="414">
        <v>0.03</v>
      </c>
      <c r="E337" s="321">
        <f t="shared" si="61"/>
        <v>32455</v>
      </c>
      <c r="F337" s="321">
        <f t="shared" si="61"/>
        <v>973</v>
      </c>
      <c r="G337" s="321">
        <v>0</v>
      </c>
      <c r="H337" s="321">
        <f>INT(G337*C337)</f>
        <v>0</v>
      </c>
      <c r="I337" s="321">
        <v>0</v>
      </c>
      <c r="J337" s="321">
        <f>INT(I337*C337)</f>
        <v>0</v>
      </c>
      <c r="K337" s="321">
        <f>INT(H336+H335)</f>
        <v>32455</v>
      </c>
      <c r="L337" s="322">
        <f>INT(K337*C337)</f>
        <v>973</v>
      </c>
    </row>
    <row r="338" spans="1:12" ht="13.5" customHeight="1">
      <c r="A338" s="145" t="s">
        <v>422</v>
      </c>
      <c r="B338" s="319"/>
      <c r="C338" s="146"/>
      <c r="D338" s="320"/>
      <c r="E338" s="321">
        <f t="shared" si="61"/>
        <v>0</v>
      </c>
      <c r="F338" s="321">
        <f t="shared" si="61"/>
        <v>33428</v>
      </c>
      <c r="G338" s="321">
        <f>노임!B18</f>
        <v>0</v>
      </c>
      <c r="H338" s="321">
        <f>SUM(H335:H337)</f>
        <v>32455</v>
      </c>
      <c r="I338" s="321">
        <v>0</v>
      </c>
      <c r="J338" s="321">
        <f>SUM(J335:J337)</f>
        <v>0</v>
      </c>
      <c r="K338" s="321">
        <v>0</v>
      </c>
      <c r="L338" s="321">
        <f>SUM(L335:L337)</f>
        <v>973</v>
      </c>
    </row>
    <row r="339" spans="1:12" ht="13.5" customHeight="1">
      <c r="A339" s="209"/>
      <c r="B339" s="311"/>
      <c r="C339" s="95"/>
      <c r="D339" s="95"/>
      <c r="E339" s="312">
        <f>E334+1</f>
        <v>57</v>
      </c>
      <c r="F339" s="313" t="s">
        <v>427</v>
      </c>
      <c r="G339" s="313"/>
      <c r="H339" s="95"/>
      <c r="I339" s="313"/>
      <c r="J339" s="313" t="s">
        <v>399</v>
      </c>
      <c r="K339" s="313"/>
      <c r="L339" s="314"/>
    </row>
    <row r="340" spans="1:12" ht="13.5" customHeight="1">
      <c r="A340" s="145" t="s">
        <v>428</v>
      </c>
      <c r="B340" s="319" t="s">
        <v>329</v>
      </c>
      <c r="C340" s="146">
        <v>0.89</v>
      </c>
      <c r="D340" s="320" t="s">
        <v>849</v>
      </c>
      <c r="E340" s="321">
        <f t="shared" ref="E340:E349" si="62">G340+I340+K340</f>
        <v>21160</v>
      </c>
      <c r="F340" s="321">
        <f t="shared" ref="F340:F349" si="63">H340+J340+L340</f>
        <v>18832</v>
      </c>
      <c r="G340" s="321">
        <v>0</v>
      </c>
      <c r="H340" s="321">
        <f t="shared" ref="H340:H347" si="64">INT(G340*C340)</f>
        <v>0</v>
      </c>
      <c r="I340" s="321">
        <f>자재!F124</f>
        <v>21160</v>
      </c>
      <c r="J340" s="321">
        <f t="shared" ref="J340:J347" si="65">INT(I340*C340)</f>
        <v>18832</v>
      </c>
      <c r="K340" s="321">
        <v>0</v>
      </c>
      <c r="L340" s="322">
        <f t="shared" ref="L340:L347" si="66">INT(K340*C340)</f>
        <v>0</v>
      </c>
    </row>
    <row r="341" spans="1:12" ht="13.5" customHeight="1">
      <c r="A341" s="145" t="s">
        <v>429</v>
      </c>
      <c r="B341" s="319" t="s">
        <v>435</v>
      </c>
      <c r="C341" s="146">
        <v>0.03</v>
      </c>
      <c r="D341" s="320" t="s">
        <v>439</v>
      </c>
      <c r="E341" s="321">
        <f t="shared" si="62"/>
        <v>15920</v>
      </c>
      <c r="F341" s="321">
        <f t="shared" si="63"/>
        <v>477</v>
      </c>
      <c r="G341" s="321">
        <v>0</v>
      </c>
      <c r="H341" s="321">
        <f t="shared" si="64"/>
        <v>0</v>
      </c>
      <c r="I341" s="321">
        <f>자재!F125</f>
        <v>15920</v>
      </c>
      <c r="J341" s="321">
        <f t="shared" si="65"/>
        <v>477</v>
      </c>
      <c r="K341" s="321">
        <v>0</v>
      </c>
      <c r="L341" s="322">
        <f t="shared" si="66"/>
        <v>0</v>
      </c>
    </row>
    <row r="342" spans="1:12" ht="13.5" customHeight="1">
      <c r="A342" s="145" t="s">
        <v>430</v>
      </c>
      <c r="B342" s="319"/>
      <c r="C342" s="146">
        <v>19</v>
      </c>
      <c r="D342" s="320" t="s">
        <v>440</v>
      </c>
      <c r="E342" s="321">
        <f t="shared" si="62"/>
        <v>61</v>
      </c>
      <c r="F342" s="321">
        <f t="shared" si="63"/>
        <v>1159</v>
      </c>
      <c r="G342" s="321">
        <v>0</v>
      </c>
      <c r="H342" s="321">
        <f t="shared" si="64"/>
        <v>0</v>
      </c>
      <c r="I342" s="321">
        <f>자재!F126</f>
        <v>61</v>
      </c>
      <c r="J342" s="321">
        <f t="shared" si="65"/>
        <v>1159</v>
      </c>
      <c r="K342" s="321">
        <v>0</v>
      </c>
      <c r="L342" s="322">
        <f t="shared" si="66"/>
        <v>0</v>
      </c>
    </row>
    <row r="343" spans="1:12" ht="13.5" customHeight="1">
      <c r="A343" s="145" t="s">
        <v>273</v>
      </c>
      <c r="B343" s="319" t="s">
        <v>436</v>
      </c>
      <c r="C343" s="146">
        <v>20</v>
      </c>
      <c r="D343" s="320" t="s">
        <v>935</v>
      </c>
      <c r="E343" s="321">
        <f t="shared" si="62"/>
        <v>126</v>
      </c>
      <c r="F343" s="321">
        <f t="shared" si="63"/>
        <v>2520</v>
      </c>
      <c r="G343" s="321">
        <v>0</v>
      </c>
      <c r="H343" s="321">
        <f t="shared" si="64"/>
        <v>0</v>
      </c>
      <c r="I343" s="321">
        <f>자재!F127</f>
        <v>126</v>
      </c>
      <c r="J343" s="321">
        <f t="shared" si="65"/>
        <v>2520</v>
      </c>
      <c r="K343" s="321">
        <v>0</v>
      </c>
      <c r="L343" s="322">
        <f t="shared" si="66"/>
        <v>0</v>
      </c>
    </row>
    <row r="344" spans="1:12" ht="13.5" customHeight="1">
      <c r="A344" s="145" t="s">
        <v>307</v>
      </c>
      <c r="B344" s="319" t="s">
        <v>437</v>
      </c>
      <c r="C344" s="146">
        <v>0.77</v>
      </c>
      <c r="D344" s="320" t="s">
        <v>640</v>
      </c>
      <c r="E344" s="321">
        <f t="shared" si="62"/>
        <v>3050</v>
      </c>
      <c r="F344" s="321">
        <f t="shared" si="63"/>
        <v>2348</v>
      </c>
      <c r="G344" s="321">
        <v>0</v>
      </c>
      <c r="H344" s="321">
        <f t="shared" si="64"/>
        <v>0</v>
      </c>
      <c r="I344" s="321">
        <f>자재!F159</f>
        <v>3050</v>
      </c>
      <c r="J344" s="321">
        <f t="shared" si="65"/>
        <v>2348</v>
      </c>
      <c r="K344" s="321">
        <v>0</v>
      </c>
      <c r="L344" s="322">
        <f t="shared" si="66"/>
        <v>0</v>
      </c>
    </row>
    <row r="345" spans="1:12" ht="13.5" customHeight="1">
      <c r="A345" s="145" t="s">
        <v>431</v>
      </c>
      <c r="B345" s="319" t="s">
        <v>276</v>
      </c>
      <c r="C345" s="146">
        <v>2.83</v>
      </c>
      <c r="D345" s="320" t="s">
        <v>539</v>
      </c>
      <c r="E345" s="321">
        <f t="shared" si="62"/>
        <v>135</v>
      </c>
      <c r="F345" s="321">
        <f t="shared" si="63"/>
        <v>382</v>
      </c>
      <c r="G345" s="321">
        <v>0</v>
      </c>
      <c r="H345" s="321">
        <f t="shared" si="64"/>
        <v>0</v>
      </c>
      <c r="I345" s="321">
        <f>자재!F128</f>
        <v>135</v>
      </c>
      <c r="J345" s="321">
        <f t="shared" si="65"/>
        <v>382</v>
      </c>
      <c r="K345" s="321">
        <v>0</v>
      </c>
      <c r="L345" s="322">
        <f t="shared" si="66"/>
        <v>0</v>
      </c>
    </row>
    <row r="346" spans="1:12" ht="13.5" customHeight="1">
      <c r="A346" s="145" t="s">
        <v>432</v>
      </c>
      <c r="B346" s="319" t="s">
        <v>438</v>
      </c>
      <c r="C346" s="146">
        <v>0.125</v>
      </c>
      <c r="D346" s="320" t="s">
        <v>441</v>
      </c>
      <c r="E346" s="321">
        <f t="shared" si="62"/>
        <v>950</v>
      </c>
      <c r="F346" s="321">
        <f t="shared" si="63"/>
        <v>118</v>
      </c>
      <c r="G346" s="321">
        <v>0</v>
      </c>
      <c r="H346" s="321">
        <f t="shared" si="64"/>
        <v>0</v>
      </c>
      <c r="I346" s="321">
        <f>자재!F20</f>
        <v>950</v>
      </c>
      <c r="J346" s="321">
        <f t="shared" si="65"/>
        <v>118</v>
      </c>
      <c r="K346" s="321">
        <v>0</v>
      </c>
      <c r="L346" s="322">
        <f t="shared" si="66"/>
        <v>0</v>
      </c>
    </row>
    <row r="347" spans="1:12" ht="13.5" customHeight="1">
      <c r="A347" s="145" t="s">
        <v>433</v>
      </c>
      <c r="B347" s="319" t="s">
        <v>434</v>
      </c>
      <c r="C347" s="146">
        <v>0.05</v>
      </c>
      <c r="D347" s="414">
        <v>0.05</v>
      </c>
      <c r="E347" s="321">
        <f t="shared" si="62"/>
        <v>25836</v>
      </c>
      <c r="F347" s="321">
        <f t="shared" si="63"/>
        <v>1291</v>
      </c>
      <c r="G347" s="321">
        <v>0</v>
      </c>
      <c r="H347" s="321">
        <f t="shared" si="64"/>
        <v>0</v>
      </c>
      <c r="I347" s="321">
        <f>SUM(J340:J346)</f>
        <v>25836</v>
      </c>
      <c r="J347" s="321">
        <f t="shared" si="65"/>
        <v>1291</v>
      </c>
      <c r="K347" s="321">
        <f>INT(H341+H340)</f>
        <v>0</v>
      </c>
      <c r="L347" s="322">
        <f t="shared" si="66"/>
        <v>0</v>
      </c>
    </row>
    <row r="348" spans="1:12" ht="13.5" customHeight="1">
      <c r="A348" s="145" t="s">
        <v>422</v>
      </c>
      <c r="B348" s="319"/>
      <c r="C348" s="146"/>
      <c r="D348" s="320"/>
      <c r="E348" s="321">
        <f t="shared" si="62"/>
        <v>0</v>
      </c>
      <c r="F348" s="321">
        <f t="shared" si="63"/>
        <v>27127</v>
      </c>
      <c r="G348" s="321">
        <f>노임!B24</f>
        <v>0</v>
      </c>
      <c r="H348" s="321">
        <f>SUM(H340:H347)</f>
        <v>0</v>
      </c>
      <c r="I348" s="321">
        <v>0</v>
      </c>
      <c r="J348" s="321">
        <f>SUM(J340:J347)</f>
        <v>27127</v>
      </c>
      <c r="K348" s="321">
        <v>0</v>
      </c>
      <c r="L348" s="321">
        <f>SUM(L340:L347)</f>
        <v>0</v>
      </c>
    </row>
    <row r="349" spans="1:12" ht="13.5" customHeight="1">
      <c r="A349" s="145" t="s">
        <v>423</v>
      </c>
      <c r="B349" s="413" t="s">
        <v>426</v>
      </c>
      <c r="C349" s="146"/>
      <c r="D349" s="320"/>
      <c r="E349" s="321">
        <f t="shared" si="62"/>
        <v>0</v>
      </c>
      <c r="F349" s="321">
        <f t="shared" si="63"/>
        <v>2712</v>
      </c>
      <c r="G349" s="321">
        <f>노임!D32</f>
        <v>0</v>
      </c>
      <c r="H349" s="321">
        <f>INT(H348/10)</f>
        <v>0</v>
      </c>
      <c r="I349" s="321">
        <v>0</v>
      </c>
      <c r="J349" s="321">
        <f>INT(J348/10)</f>
        <v>2712</v>
      </c>
      <c r="K349" s="321">
        <v>0</v>
      </c>
      <c r="L349" s="321">
        <f>INT(L348/10)</f>
        <v>0</v>
      </c>
    </row>
    <row r="350" spans="1:12" ht="13.5" customHeight="1">
      <c r="A350" s="209"/>
      <c r="B350" s="311"/>
      <c r="C350" s="95"/>
      <c r="D350" s="95"/>
      <c r="E350" s="312">
        <f>E339+1</f>
        <v>58</v>
      </c>
      <c r="F350" s="313" t="s">
        <v>16</v>
      </c>
      <c r="G350" s="313"/>
      <c r="H350" s="95"/>
      <c r="I350" s="313"/>
      <c r="J350" s="298" t="s">
        <v>1053</v>
      </c>
      <c r="K350" s="313"/>
      <c r="L350" s="314"/>
    </row>
    <row r="351" spans="1:12" ht="13.5" customHeight="1">
      <c r="A351" s="145" t="s">
        <v>17</v>
      </c>
      <c r="B351" s="319" t="s">
        <v>1692</v>
      </c>
      <c r="C351" s="146">
        <v>0.02</v>
      </c>
      <c r="D351" s="320" t="s">
        <v>501</v>
      </c>
      <c r="E351" s="321">
        <f t="shared" ref="E351:F356" si="67">G351+I351+K351</f>
        <v>278326</v>
      </c>
      <c r="F351" s="321">
        <f t="shared" si="67"/>
        <v>5566</v>
      </c>
      <c r="G351" s="321">
        <f>노임!F11</f>
        <v>278326</v>
      </c>
      <c r="H351" s="321">
        <f t="shared" ref="H351:H356" si="68">INT(G351*C351)</f>
        <v>5566</v>
      </c>
      <c r="I351" s="321">
        <v>0</v>
      </c>
      <c r="J351" s="321">
        <f t="shared" ref="J351:J356" si="69">INT(I351*C351)</f>
        <v>0</v>
      </c>
      <c r="K351" s="321">
        <v>0</v>
      </c>
      <c r="L351" s="322">
        <f t="shared" ref="L351:L356" si="70">INT(K351*C351)</f>
        <v>0</v>
      </c>
    </row>
    <row r="352" spans="1:12" ht="13.5" customHeight="1">
      <c r="A352" s="145" t="s">
        <v>2505</v>
      </c>
      <c r="B352" s="319"/>
      <c r="C352" s="146">
        <v>0.05</v>
      </c>
      <c r="D352" s="320" t="s">
        <v>2507</v>
      </c>
      <c r="E352" s="321">
        <f>G352+I352+K352</f>
        <v>226124</v>
      </c>
      <c r="F352" s="321">
        <f>H352+J352+L352</f>
        <v>11306</v>
      </c>
      <c r="G352" s="321">
        <f>노임!D13</f>
        <v>226122</v>
      </c>
      <c r="H352" s="321">
        <f t="shared" si="68"/>
        <v>11306</v>
      </c>
      <c r="I352" s="321">
        <v>1</v>
      </c>
      <c r="J352" s="321">
        <f t="shared" si="69"/>
        <v>0</v>
      </c>
      <c r="K352" s="321">
        <v>1</v>
      </c>
      <c r="L352" s="322">
        <f t="shared" si="70"/>
        <v>0</v>
      </c>
    </row>
    <row r="353" spans="1:12" ht="13.5" customHeight="1">
      <c r="A353" s="145" t="s">
        <v>2506</v>
      </c>
      <c r="B353" s="319"/>
      <c r="C353" s="146">
        <v>0.03</v>
      </c>
      <c r="D353" s="320" t="s">
        <v>2507</v>
      </c>
      <c r="E353" s="321">
        <f>G353+I353+K353</f>
        <v>172072</v>
      </c>
      <c r="F353" s="321">
        <f>H353+J353+L353</f>
        <v>5162</v>
      </c>
      <c r="G353" s="321">
        <f>노임!D14</f>
        <v>172068</v>
      </c>
      <c r="H353" s="321">
        <f t="shared" si="68"/>
        <v>5162</v>
      </c>
      <c r="I353" s="321">
        <v>2</v>
      </c>
      <c r="J353" s="321">
        <f t="shared" si="69"/>
        <v>0</v>
      </c>
      <c r="K353" s="321">
        <v>2</v>
      </c>
      <c r="L353" s="322">
        <f t="shared" si="70"/>
        <v>0</v>
      </c>
    </row>
    <row r="354" spans="1:12" ht="13.5" customHeight="1">
      <c r="A354" s="145" t="s">
        <v>18</v>
      </c>
      <c r="B354" s="319" t="s">
        <v>21</v>
      </c>
      <c r="C354" s="146">
        <v>0.05</v>
      </c>
      <c r="D354" s="320" t="s">
        <v>990</v>
      </c>
      <c r="E354" s="321">
        <f t="shared" si="67"/>
        <v>9500</v>
      </c>
      <c r="F354" s="321">
        <f t="shared" si="67"/>
        <v>475</v>
      </c>
      <c r="G354" s="321">
        <v>0</v>
      </c>
      <c r="H354" s="321">
        <f t="shared" si="68"/>
        <v>0</v>
      </c>
      <c r="I354" s="321">
        <f>자재!F23</f>
        <v>9500</v>
      </c>
      <c r="J354" s="321">
        <f t="shared" si="69"/>
        <v>475</v>
      </c>
      <c r="K354" s="321">
        <v>0</v>
      </c>
      <c r="L354" s="322">
        <f t="shared" si="70"/>
        <v>0</v>
      </c>
    </row>
    <row r="355" spans="1:12" ht="13.5" customHeight="1">
      <c r="A355" s="145" t="s">
        <v>19</v>
      </c>
      <c r="B355" s="319" t="s">
        <v>22</v>
      </c>
      <c r="C355" s="146">
        <v>2.3E-2</v>
      </c>
      <c r="D355" s="320" t="s">
        <v>862</v>
      </c>
      <c r="E355" s="321">
        <f t="shared" si="67"/>
        <v>10000</v>
      </c>
      <c r="F355" s="321">
        <f t="shared" si="67"/>
        <v>230</v>
      </c>
      <c r="G355" s="321">
        <v>0</v>
      </c>
      <c r="H355" s="321">
        <f t="shared" si="68"/>
        <v>0</v>
      </c>
      <c r="I355" s="321">
        <f>자재!F24</f>
        <v>10000</v>
      </c>
      <c r="J355" s="321">
        <f t="shared" si="69"/>
        <v>230</v>
      </c>
      <c r="K355" s="321">
        <v>0</v>
      </c>
      <c r="L355" s="322">
        <f t="shared" si="70"/>
        <v>0</v>
      </c>
    </row>
    <row r="356" spans="1:12" ht="13.5" customHeight="1">
      <c r="A356" s="145" t="s">
        <v>20</v>
      </c>
      <c r="B356" s="319" t="s">
        <v>23</v>
      </c>
      <c r="C356" s="416">
        <v>0.01</v>
      </c>
      <c r="D356" s="320"/>
      <c r="E356" s="321">
        <f t="shared" si="67"/>
        <v>5566</v>
      </c>
      <c r="F356" s="321">
        <f t="shared" si="67"/>
        <v>55</v>
      </c>
      <c r="G356" s="321">
        <v>0</v>
      </c>
      <c r="H356" s="321">
        <f t="shared" si="68"/>
        <v>0</v>
      </c>
      <c r="I356" s="321"/>
      <c r="J356" s="321">
        <f t="shared" si="69"/>
        <v>0</v>
      </c>
      <c r="K356" s="321">
        <f>H351</f>
        <v>5566</v>
      </c>
      <c r="L356" s="322">
        <f t="shared" si="70"/>
        <v>55</v>
      </c>
    </row>
    <row r="357" spans="1:12" ht="13.5" customHeight="1">
      <c r="A357" s="145" t="s">
        <v>422</v>
      </c>
      <c r="B357" s="319"/>
      <c r="C357" s="146"/>
      <c r="D357" s="320"/>
      <c r="E357" s="321"/>
      <c r="F357" s="321">
        <f>H357+J357+L357</f>
        <v>22794</v>
      </c>
      <c r="G357" s="321">
        <f>노임!B35</f>
        <v>0</v>
      </c>
      <c r="H357" s="321">
        <f>SUM(H351:H356)</f>
        <v>22034</v>
      </c>
      <c r="I357" s="321">
        <v>0</v>
      </c>
      <c r="J357" s="321">
        <f>SUM(J351:J356)</f>
        <v>705</v>
      </c>
      <c r="K357" s="321">
        <v>0</v>
      </c>
      <c r="L357" s="321">
        <f>SUM(L351:L356)</f>
        <v>55</v>
      </c>
    </row>
    <row r="358" spans="1:12" ht="15" customHeight="1">
      <c r="A358" s="209"/>
      <c r="B358" s="210"/>
      <c r="C358" s="95"/>
      <c r="D358" s="211"/>
      <c r="E358" s="212">
        <f>E350+1</f>
        <v>59</v>
      </c>
      <c r="F358" s="297" t="s">
        <v>2330</v>
      </c>
      <c r="G358" s="95"/>
      <c r="H358" s="298"/>
      <c r="I358" s="299"/>
      <c r="J358" s="298" t="s">
        <v>1053</v>
      </c>
      <c r="K358" s="299"/>
      <c r="L358" s="300"/>
    </row>
    <row r="359" spans="1:12" ht="15" customHeight="1">
      <c r="A359" s="498" t="s">
        <v>26</v>
      </c>
      <c r="B359" s="499" t="s">
        <v>29</v>
      </c>
      <c r="C359" s="163">
        <v>0.12</v>
      </c>
      <c r="D359" s="500" t="s">
        <v>30</v>
      </c>
      <c r="E359" s="501">
        <f t="shared" ref="E359:F361" si="71">G359+I359+K359</f>
        <v>266361</v>
      </c>
      <c r="F359" s="501">
        <f t="shared" si="71"/>
        <v>31963</v>
      </c>
      <c r="G359" s="501">
        <f>노임!D3</f>
        <v>266361</v>
      </c>
      <c r="H359" s="501">
        <f>INT(C359*G359)</f>
        <v>31963</v>
      </c>
      <c r="I359" s="501">
        <v>0</v>
      </c>
      <c r="J359" s="501">
        <f>INT(C359*I359)</f>
        <v>0</v>
      </c>
      <c r="K359" s="501">
        <v>0</v>
      </c>
      <c r="L359" s="502">
        <f>INT(C359*K359)</f>
        <v>0</v>
      </c>
    </row>
    <row r="360" spans="1:12" ht="15" customHeight="1">
      <c r="A360" s="151" t="s">
        <v>27</v>
      </c>
      <c r="B360" s="152"/>
      <c r="C360" s="146">
        <v>0.15</v>
      </c>
      <c r="D360" s="320" t="s">
        <v>30</v>
      </c>
      <c r="E360" s="503">
        <f t="shared" si="71"/>
        <v>172068</v>
      </c>
      <c r="F360" s="503">
        <f t="shared" si="71"/>
        <v>25810</v>
      </c>
      <c r="G360" s="503">
        <f>노임!D14</f>
        <v>172068</v>
      </c>
      <c r="H360" s="503">
        <f>INT(C360*G360)</f>
        <v>25810</v>
      </c>
      <c r="I360" s="503">
        <v>0</v>
      </c>
      <c r="J360" s="503">
        <f>INT(C360*I360)</f>
        <v>0</v>
      </c>
      <c r="K360" s="503">
        <v>0</v>
      </c>
      <c r="L360" s="504">
        <f>INT(C360*K360)</f>
        <v>0</v>
      </c>
    </row>
    <row r="361" spans="1:12" ht="15" customHeight="1">
      <c r="A361" s="151" t="s">
        <v>28</v>
      </c>
      <c r="B361" s="152" t="s">
        <v>32</v>
      </c>
      <c r="C361" s="505">
        <v>1</v>
      </c>
      <c r="D361" s="320" t="s">
        <v>31</v>
      </c>
      <c r="E361" s="503">
        <f t="shared" si="71"/>
        <v>247</v>
      </c>
      <c r="F361" s="503">
        <f t="shared" si="71"/>
        <v>247</v>
      </c>
      <c r="G361" s="503">
        <f>기초일람!F270</f>
        <v>0</v>
      </c>
      <c r="H361" s="503">
        <f>INT(C361*G361)</f>
        <v>0</v>
      </c>
      <c r="I361" s="503">
        <f>기초단위당!I14</f>
        <v>233</v>
      </c>
      <c r="J361" s="503">
        <f>INT(C361*I361)</f>
        <v>233</v>
      </c>
      <c r="K361" s="503">
        <f>기초단위당!J14</f>
        <v>14</v>
      </c>
      <c r="L361" s="504">
        <f>INT(C361*K361)</f>
        <v>14</v>
      </c>
    </row>
    <row r="362" spans="1:12" ht="15" customHeight="1">
      <c r="A362" s="154" t="s">
        <v>617</v>
      </c>
      <c r="B362" s="506"/>
      <c r="C362" s="158"/>
      <c r="D362" s="507"/>
      <c r="E362" s="508"/>
      <c r="F362" s="508">
        <f>H362+J362+L362</f>
        <v>58020</v>
      </c>
      <c r="G362" s="508"/>
      <c r="H362" s="508">
        <f>SUM(H359:H361)</f>
        <v>57773</v>
      </c>
      <c r="I362" s="508"/>
      <c r="J362" s="508">
        <f>SUM(J359:J361)</f>
        <v>233</v>
      </c>
      <c r="K362" s="508"/>
      <c r="L362" s="509">
        <f>SUM(L359:L361)</f>
        <v>14</v>
      </c>
    </row>
    <row r="363" spans="1:12" ht="15" customHeight="1">
      <c r="A363" s="209"/>
      <c r="B363" s="210"/>
      <c r="C363" s="95"/>
      <c r="D363" s="211"/>
      <c r="E363" s="212">
        <f>E358+1</f>
        <v>60</v>
      </c>
      <c r="F363" s="297" t="s">
        <v>2334</v>
      </c>
      <c r="G363" s="95"/>
      <c r="H363" s="298"/>
      <c r="I363" s="299"/>
      <c r="J363" s="298" t="s">
        <v>1053</v>
      </c>
      <c r="K363" s="299"/>
      <c r="L363" s="300"/>
    </row>
    <row r="364" spans="1:12" ht="15" customHeight="1">
      <c r="A364" s="498" t="s">
        <v>26</v>
      </c>
      <c r="B364" s="499" t="s">
        <v>29</v>
      </c>
      <c r="C364" s="163">
        <v>0.24</v>
      </c>
      <c r="D364" s="500" t="s">
        <v>30</v>
      </c>
      <c r="E364" s="501">
        <f t="shared" ref="E364:F366" si="72">G364+I364+K364</f>
        <v>266361</v>
      </c>
      <c r="F364" s="501">
        <f t="shared" si="72"/>
        <v>63926</v>
      </c>
      <c r="G364" s="501">
        <f>노임!D3</f>
        <v>266361</v>
      </c>
      <c r="H364" s="501">
        <f>INT(C364*G364)</f>
        <v>63926</v>
      </c>
      <c r="I364" s="501">
        <v>0</v>
      </c>
      <c r="J364" s="501">
        <f>INT(C364*I364)</f>
        <v>0</v>
      </c>
      <c r="K364" s="501">
        <v>0</v>
      </c>
      <c r="L364" s="502">
        <f>INT(C364*K364)</f>
        <v>0</v>
      </c>
    </row>
    <row r="365" spans="1:12" ht="15" customHeight="1">
      <c r="A365" s="151" t="s">
        <v>27</v>
      </c>
      <c r="B365" s="152"/>
      <c r="C365" s="146">
        <v>0.3</v>
      </c>
      <c r="D365" s="320" t="s">
        <v>30</v>
      </c>
      <c r="E365" s="503">
        <f t="shared" si="72"/>
        <v>172068</v>
      </c>
      <c r="F365" s="503">
        <f t="shared" si="72"/>
        <v>51620</v>
      </c>
      <c r="G365" s="503">
        <f>노임!D14</f>
        <v>172068</v>
      </c>
      <c r="H365" s="503">
        <f>INT(C365*G365)</f>
        <v>51620</v>
      </c>
      <c r="I365" s="503">
        <v>0</v>
      </c>
      <c r="J365" s="503">
        <f>INT(C365*I365)</f>
        <v>0</v>
      </c>
      <c r="K365" s="503">
        <v>0</v>
      </c>
      <c r="L365" s="504">
        <f>INT(C365*K365)</f>
        <v>0</v>
      </c>
    </row>
    <row r="366" spans="1:12" ht="15" customHeight="1">
      <c r="A366" s="151" t="s">
        <v>28</v>
      </c>
      <c r="B366" s="152" t="s">
        <v>1836</v>
      </c>
      <c r="C366" s="505">
        <v>1</v>
      </c>
      <c r="D366" s="320" t="s">
        <v>31</v>
      </c>
      <c r="E366" s="503">
        <f t="shared" si="72"/>
        <v>495</v>
      </c>
      <c r="F366" s="503">
        <f t="shared" si="72"/>
        <v>495</v>
      </c>
      <c r="G366" s="503">
        <f>기초단위당!H12</f>
        <v>0</v>
      </c>
      <c r="H366" s="503">
        <f>INT(C366*G366)</f>
        <v>0</v>
      </c>
      <c r="I366" s="503">
        <f>기초단위당!I12</f>
        <v>466</v>
      </c>
      <c r="J366" s="503">
        <f>INT(C366*I366)</f>
        <v>466</v>
      </c>
      <c r="K366" s="503">
        <f>기초단위당!J12</f>
        <v>29</v>
      </c>
      <c r="L366" s="504">
        <f>INT(C366*K366)</f>
        <v>29</v>
      </c>
    </row>
    <row r="367" spans="1:12" ht="15" customHeight="1">
      <c r="A367" s="154" t="s">
        <v>617</v>
      </c>
      <c r="B367" s="506"/>
      <c r="C367" s="158"/>
      <c r="D367" s="507"/>
      <c r="E367" s="508"/>
      <c r="F367" s="508">
        <f>H367+J367+L367</f>
        <v>116041</v>
      </c>
      <c r="G367" s="508"/>
      <c r="H367" s="508">
        <f>SUM(H364:H366)</f>
        <v>115546</v>
      </c>
      <c r="I367" s="508"/>
      <c r="J367" s="508">
        <f>SUM(J364:J366)</f>
        <v>466</v>
      </c>
      <c r="K367" s="508"/>
      <c r="L367" s="509">
        <f>SUM(L364:L366)</f>
        <v>29</v>
      </c>
    </row>
    <row r="368" spans="1:12" ht="15" customHeight="1">
      <c r="A368" s="209"/>
      <c r="B368" s="210"/>
      <c r="C368" s="95"/>
      <c r="D368" s="211"/>
      <c r="E368" s="212">
        <f>E363+1</f>
        <v>61</v>
      </c>
      <c r="F368" s="297" t="s">
        <v>2335</v>
      </c>
      <c r="G368" s="95"/>
      <c r="H368" s="298"/>
      <c r="I368" s="299"/>
      <c r="J368" s="298" t="s">
        <v>1053</v>
      </c>
      <c r="K368" s="299"/>
      <c r="L368" s="300"/>
    </row>
    <row r="369" spans="1:12" ht="15" customHeight="1">
      <c r="A369" s="498" t="s">
        <v>26</v>
      </c>
      <c r="B369" s="499"/>
      <c r="C369" s="163">
        <v>0.14000000000000001</v>
      </c>
      <c r="D369" s="500" t="s">
        <v>30</v>
      </c>
      <c r="E369" s="501">
        <f t="shared" ref="E369:F371" si="73">G369+I369+K369</f>
        <v>266361</v>
      </c>
      <c r="F369" s="501">
        <f t="shared" si="73"/>
        <v>37290</v>
      </c>
      <c r="G369" s="501">
        <f>G359</f>
        <v>266361</v>
      </c>
      <c r="H369" s="501">
        <f>INT(C369*G369)</f>
        <v>37290</v>
      </c>
      <c r="I369" s="501">
        <v>0</v>
      </c>
      <c r="J369" s="501">
        <f>INT(C369*I369)</f>
        <v>0</v>
      </c>
      <c r="K369" s="501">
        <v>0</v>
      </c>
      <c r="L369" s="502">
        <f>INT(C369*K369)</f>
        <v>0</v>
      </c>
    </row>
    <row r="370" spans="1:12" ht="15" customHeight="1">
      <c r="A370" s="151" t="s">
        <v>27</v>
      </c>
      <c r="B370" s="152"/>
      <c r="C370" s="146">
        <v>0.16</v>
      </c>
      <c r="D370" s="320" t="s">
        <v>30</v>
      </c>
      <c r="E370" s="503">
        <f t="shared" si="73"/>
        <v>172068</v>
      </c>
      <c r="F370" s="503">
        <f t="shared" si="73"/>
        <v>27530</v>
      </c>
      <c r="G370" s="503">
        <f>G360</f>
        <v>172068</v>
      </c>
      <c r="H370" s="503">
        <f>INT(C370*G370)</f>
        <v>27530</v>
      </c>
      <c r="I370" s="503">
        <v>0</v>
      </c>
      <c r="J370" s="503">
        <f>INT(C370*I370)</f>
        <v>0</v>
      </c>
      <c r="K370" s="503">
        <v>0</v>
      </c>
      <c r="L370" s="504">
        <f>INT(C370*K370)</f>
        <v>0</v>
      </c>
    </row>
    <row r="371" spans="1:12" ht="15" customHeight="1">
      <c r="A371" s="151" t="s">
        <v>28</v>
      </c>
      <c r="B371" s="152" t="s">
        <v>32</v>
      </c>
      <c r="C371" s="505">
        <v>1</v>
      </c>
      <c r="D371" s="320" t="s">
        <v>31</v>
      </c>
      <c r="E371" s="503">
        <f t="shared" si="73"/>
        <v>247</v>
      </c>
      <c r="F371" s="503">
        <f t="shared" si="73"/>
        <v>247</v>
      </c>
      <c r="G371" s="503">
        <f>기초일람!F275</f>
        <v>0</v>
      </c>
      <c r="H371" s="503">
        <f>INT(C371*G371)</f>
        <v>0</v>
      </c>
      <c r="I371" s="503">
        <f>I361</f>
        <v>233</v>
      </c>
      <c r="J371" s="503">
        <f>INT(C371*I371)</f>
        <v>233</v>
      </c>
      <c r="K371" s="503">
        <f>K361</f>
        <v>14</v>
      </c>
      <c r="L371" s="504">
        <f>INT(C371*K371)</f>
        <v>14</v>
      </c>
    </row>
    <row r="372" spans="1:12" ht="15" customHeight="1">
      <c r="A372" s="154" t="s">
        <v>617</v>
      </c>
      <c r="B372" s="506"/>
      <c r="C372" s="158"/>
      <c r="D372" s="507"/>
      <c r="E372" s="508"/>
      <c r="F372" s="508">
        <f>H372+J372+L372</f>
        <v>65067</v>
      </c>
      <c r="G372" s="508"/>
      <c r="H372" s="508">
        <f>SUM(H369:H371)</f>
        <v>64820</v>
      </c>
      <c r="I372" s="508"/>
      <c r="J372" s="508">
        <f>SUM(J369:J371)</f>
        <v>233</v>
      </c>
      <c r="K372" s="508"/>
      <c r="L372" s="509">
        <f>SUM(L369:L371)</f>
        <v>14</v>
      </c>
    </row>
    <row r="373" spans="1:12" ht="15" customHeight="1">
      <c r="A373" s="209"/>
      <c r="B373" s="210"/>
      <c r="C373" s="95"/>
      <c r="D373" s="211"/>
      <c r="E373" s="212">
        <f>E368+1</f>
        <v>62</v>
      </c>
      <c r="F373" s="297" t="s">
        <v>1559</v>
      </c>
      <c r="G373" s="95"/>
      <c r="H373" s="298"/>
      <c r="I373" s="299"/>
      <c r="J373" s="298" t="s">
        <v>1053</v>
      </c>
      <c r="K373" s="299"/>
      <c r="L373" s="300"/>
    </row>
    <row r="374" spans="1:12" ht="15" customHeight="1">
      <c r="A374" s="498" t="s">
        <v>26</v>
      </c>
      <c r="B374" s="499"/>
      <c r="C374" s="163">
        <v>0.24</v>
      </c>
      <c r="D374" s="500" t="s">
        <v>30</v>
      </c>
      <c r="E374" s="501">
        <f t="shared" ref="E374:F376" si="74">G374+I374+K374</f>
        <v>266361</v>
      </c>
      <c r="F374" s="501">
        <f t="shared" si="74"/>
        <v>63926</v>
      </c>
      <c r="G374" s="501">
        <f>노임!D3</f>
        <v>266361</v>
      </c>
      <c r="H374" s="501">
        <f>INT(C374*G374)</f>
        <v>63926</v>
      </c>
      <c r="I374" s="501">
        <v>0</v>
      </c>
      <c r="J374" s="501">
        <f>INT(C374*I374)</f>
        <v>0</v>
      </c>
      <c r="K374" s="501">
        <v>0</v>
      </c>
      <c r="L374" s="502">
        <f>INT(C374*K374)</f>
        <v>0</v>
      </c>
    </row>
    <row r="375" spans="1:12" ht="15" customHeight="1">
      <c r="A375" s="151" t="s">
        <v>27</v>
      </c>
      <c r="B375" s="152"/>
      <c r="C375" s="510">
        <v>0.3</v>
      </c>
      <c r="D375" s="320" t="s">
        <v>30</v>
      </c>
      <c r="E375" s="503">
        <f t="shared" si="74"/>
        <v>172068</v>
      </c>
      <c r="F375" s="503">
        <f t="shared" si="74"/>
        <v>51620</v>
      </c>
      <c r="G375" s="503">
        <f>G370</f>
        <v>172068</v>
      </c>
      <c r="H375" s="503">
        <f>INT(C375*G375)</f>
        <v>51620</v>
      </c>
      <c r="I375" s="503">
        <v>0</v>
      </c>
      <c r="J375" s="503">
        <f>INT(C375*I375)</f>
        <v>0</v>
      </c>
      <c r="K375" s="503">
        <v>0</v>
      </c>
      <c r="L375" s="504">
        <f>INT(C375*K375)</f>
        <v>0</v>
      </c>
    </row>
    <row r="376" spans="1:12" ht="15" customHeight="1">
      <c r="A376" s="151" t="s">
        <v>28</v>
      </c>
      <c r="B376" s="152" t="s">
        <v>1560</v>
      </c>
      <c r="C376" s="505">
        <v>1</v>
      </c>
      <c r="D376" s="320" t="s">
        <v>31</v>
      </c>
      <c r="E376" s="503">
        <f t="shared" si="74"/>
        <v>495</v>
      </c>
      <c r="F376" s="503">
        <f t="shared" si="74"/>
        <v>495</v>
      </c>
      <c r="G376" s="503">
        <f>기초단위당!H12</f>
        <v>0</v>
      </c>
      <c r="H376" s="503">
        <f>INT(C376*G376)</f>
        <v>0</v>
      </c>
      <c r="I376" s="503">
        <f>기초단위당!I12</f>
        <v>466</v>
      </c>
      <c r="J376" s="503">
        <f>INT(C376*I376)</f>
        <v>466</v>
      </c>
      <c r="K376" s="503">
        <f>기초단위당!J12</f>
        <v>29</v>
      </c>
      <c r="L376" s="504">
        <f>INT(C376*K376)</f>
        <v>29</v>
      </c>
    </row>
    <row r="377" spans="1:12" ht="15" customHeight="1">
      <c r="A377" s="154" t="s">
        <v>617</v>
      </c>
      <c r="B377" s="506"/>
      <c r="C377" s="158"/>
      <c r="D377" s="507"/>
      <c r="E377" s="508"/>
      <c r="F377" s="508">
        <f>H377+J377+L377</f>
        <v>116041</v>
      </c>
      <c r="G377" s="508"/>
      <c r="H377" s="508">
        <f>SUM(H374:H376)</f>
        <v>115546</v>
      </c>
      <c r="I377" s="508"/>
      <c r="J377" s="508">
        <f>SUM(J374:J376)</f>
        <v>466</v>
      </c>
      <c r="K377" s="508"/>
      <c r="L377" s="509">
        <f>SUM(L374:L376)</f>
        <v>29</v>
      </c>
    </row>
    <row r="378" spans="1:12" ht="15" customHeight="1">
      <c r="A378" s="209"/>
      <c r="B378" s="210"/>
      <c r="C378" s="95"/>
      <c r="D378" s="211"/>
      <c r="E378" s="212">
        <f>E373+1</f>
        <v>63</v>
      </c>
      <c r="F378" s="297" t="s">
        <v>945</v>
      </c>
      <c r="G378" s="95"/>
      <c r="H378" s="298"/>
      <c r="I378" s="299"/>
      <c r="J378" s="298" t="s">
        <v>1053</v>
      </c>
      <c r="K378" s="299"/>
      <c r="L378" s="300"/>
    </row>
    <row r="379" spans="1:12" ht="15" customHeight="1">
      <c r="A379" s="498" t="s">
        <v>946</v>
      </c>
      <c r="B379" s="499" t="s">
        <v>951</v>
      </c>
      <c r="C379" s="163">
        <v>6.0999999999999999E-2</v>
      </c>
      <c r="D379" s="500" t="s">
        <v>950</v>
      </c>
      <c r="E379" s="501">
        <f t="shared" ref="E379:F383" si="75">G379+I379+K379</f>
        <v>132893</v>
      </c>
      <c r="F379" s="501">
        <f t="shared" si="75"/>
        <v>8105</v>
      </c>
      <c r="G379" s="501">
        <f>중기일람!D37</f>
        <v>57077</v>
      </c>
      <c r="H379" s="501">
        <f>INT(C379*G379)</f>
        <v>3481</v>
      </c>
      <c r="I379" s="501">
        <f>중기일람!E37</f>
        <v>30330</v>
      </c>
      <c r="J379" s="501">
        <f>INT(C379*I379)</f>
        <v>1850</v>
      </c>
      <c r="K379" s="501">
        <f>중기일람!F37</f>
        <v>45486</v>
      </c>
      <c r="L379" s="502">
        <f>INT(C379*K379)</f>
        <v>2774</v>
      </c>
    </row>
    <row r="380" spans="1:12" ht="15" customHeight="1">
      <c r="A380" s="151" t="s">
        <v>947</v>
      </c>
      <c r="B380" s="152" t="s">
        <v>948</v>
      </c>
      <c r="C380" s="146">
        <v>4.2999999999999997E-2</v>
      </c>
      <c r="D380" s="320" t="s">
        <v>30</v>
      </c>
      <c r="E380" s="503">
        <f t="shared" si="75"/>
        <v>266361</v>
      </c>
      <c r="F380" s="503">
        <f t="shared" si="75"/>
        <v>11453</v>
      </c>
      <c r="G380" s="503">
        <f>노임!D3</f>
        <v>266361</v>
      </c>
      <c r="H380" s="503">
        <f>INT(C380*G380)</f>
        <v>11453</v>
      </c>
      <c r="I380" s="503">
        <f>기초일람!G237</f>
        <v>0</v>
      </c>
      <c r="J380" s="503">
        <f>INT(C380*I380)</f>
        <v>0</v>
      </c>
      <c r="K380" s="503">
        <f>기초일람!H237</f>
        <v>0</v>
      </c>
      <c r="L380" s="504">
        <f>INT(C380*K380)</f>
        <v>0</v>
      </c>
    </row>
    <row r="381" spans="1:12" ht="15" customHeight="1">
      <c r="A381" s="151" t="s">
        <v>947</v>
      </c>
      <c r="B381" s="152" t="s">
        <v>1365</v>
      </c>
      <c r="C381" s="146">
        <v>1.7000000000000001E-2</v>
      </c>
      <c r="D381" s="320" t="s">
        <v>30</v>
      </c>
      <c r="E381" s="503">
        <f>G381+I381+K381</f>
        <v>226122</v>
      </c>
      <c r="F381" s="503">
        <f>H381+J381+L381</f>
        <v>3844</v>
      </c>
      <c r="G381" s="503">
        <f>노임!D13</f>
        <v>226122</v>
      </c>
      <c r="H381" s="503">
        <f>INT(C381*G381)</f>
        <v>3844</v>
      </c>
      <c r="I381" s="503">
        <f>기초일람!G238</f>
        <v>0</v>
      </c>
      <c r="J381" s="503">
        <f>INT(C381*I381)</f>
        <v>0</v>
      </c>
      <c r="K381" s="503">
        <f>기초일람!H238</f>
        <v>0</v>
      </c>
      <c r="L381" s="504">
        <f>INT(C381*K381)</f>
        <v>0</v>
      </c>
    </row>
    <row r="382" spans="1:12" ht="15" customHeight="1">
      <c r="A382" s="151" t="s">
        <v>947</v>
      </c>
      <c r="B382" s="152" t="s">
        <v>949</v>
      </c>
      <c r="C382" s="146">
        <v>1.7000000000000001E-2</v>
      </c>
      <c r="D382" s="320" t="s">
        <v>30</v>
      </c>
      <c r="E382" s="503">
        <f t="shared" si="75"/>
        <v>172068</v>
      </c>
      <c r="F382" s="503">
        <f t="shared" si="75"/>
        <v>2925</v>
      </c>
      <c r="G382" s="503">
        <f>노임!D14</f>
        <v>172068</v>
      </c>
      <c r="H382" s="503">
        <f>INT(C382*G382)</f>
        <v>2925</v>
      </c>
      <c r="I382" s="503">
        <f>기초일람!G237</f>
        <v>0</v>
      </c>
      <c r="J382" s="503">
        <f>INT(C382*I382)</f>
        <v>0</v>
      </c>
      <c r="K382" s="503">
        <f>기초일람!H237</f>
        <v>0</v>
      </c>
      <c r="L382" s="504">
        <f>INT(C382*K382)</f>
        <v>0</v>
      </c>
    </row>
    <row r="383" spans="1:12" ht="15" customHeight="1">
      <c r="A383" s="151" t="s">
        <v>2261</v>
      </c>
      <c r="B383" s="332" t="s">
        <v>2262</v>
      </c>
      <c r="C383" s="511">
        <v>0.05</v>
      </c>
      <c r="D383" s="320"/>
      <c r="E383" s="503">
        <f t="shared" si="75"/>
        <v>22846</v>
      </c>
      <c r="F383" s="503">
        <f t="shared" si="75"/>
        <v>1142</v>
      </c>
      <c r="G383" s="503">
        <f>기초일람!F280</f>
        <v>0</v>
      </c>
      <c r="H383" s="503">
        <f>INT(C383*G383)</f>
        <v>0</v>
      </c>
      <c r="I383" s="503"/>
      <c r="J383" s="503">
        <f>INT(C383*I383)</f>
        <v>0</v>
      </c>
      <c r="K383" s="503">
        <f>SUM(H380:H382,J379,L379)</f>
        <v>22846</v>
      </c>
      <c r="L383" s="504">
        <f>INT(C383*K383)</f>
        <v>1142</v>
      </c>
    </row>
    <row r="384" spans="1:12" ht="15" customHeight="1">
      <c r="A384" s="154" t="s">
        <v>617</v>
      </c>
      <c r="B384" s="506"/>
      <c r="C384" s="158"/>
      <c r="D384" s="507"/>
      <c r="E384" s="508"/>
      <c r="F384" s="508">
        <f>H384+J384+L384</f>
        <v>27469</v>
      </c>
      <c r="G384" s="508"/>
      <c r="H384" s="508">
        <f>SUM(H379:H383)</f>
        <v>21703</v>
      </c>
      <c r="I384" s="508"/>
      <c r="J384" s="508">
        <f>SUM(J379:J383)</f>
        <v>1850</v>
      </c>
      <c r="K384" s="508"/>
      <c r="L384" s="509">
        <f>SUM(L379:L383)</f>
        <v>3916</v>
      </c>
    </row>
    <row r="385" spans="1:12" ht="15" customHeight="1">
      <c r="A385" s="209"/>
      <c r="B385" s="210"/>
      <c r="C385" s="95"/>
      <c r="D385" s="211"/>
      <c r="E385" s="212">
        <f>E378+1</f>
        <v>64</v>
      </c>
      <c r="F385" s="297" t="s">
        <v>1181</v>
      </c>
      <c r="G385" s="95"/>
      <c r="H385" s="298"/>
      <c r="I385" s="299"/>
      <c r="J385" s="298" t="s">
        <v>1069</v>
      </c>
      <c r="K385" s="299"/>
      <c r="L385" s="300"/>
    </row>
    <row r="386" spans="1:12" ht="15" customHeight="1">
      <c r="A386" s="498" t="s">
        <v>1365</v>
      </c>
      <c r="B386" s="499"/>
      <c r="C386" s="163">
        <v>7.1999999999999995E-2</v>
      </c>
      <c r="D386" s="500" t="s">
        <v>30</v>
      </c>
      <c r="E386" s="501">
        <f t="shared" ref="E386:F389" si="76">G386+I386+K386</f>
        <v>226122</v>
      </c>
      <c r="F386" s="501">
        <f t="shared" si="76"/>
        <v>16280</v>
      </c>
      <c r="G386" s="501">
        <f>노임!D13</f>
        <v>226122</v>
      </c>
      <c r="H386" s="501">
        <f>INT(C386*G386)</f>
        <v>16280</v>
      </c>
      <c r="I386" s="501">
        <v>0</v>
      </c>
      <c r="J386" s="501">
        <f>INT(C386*I386)</f>
        <v>0</v>
      </c>
      <c r="K386" s="501">
        <v>0</v>
      </c>
      <c r="L386" s="502">
        <f>INT(C386*K386)</f>
        <v>0</v>
      </c>
    </row>
    <row r="387" spans="1:12" ht="15" customHeight="1">
      <c r="A387" s="151" t="s">
        <v>27</v>
      </c>
      <c r="B387" s="152"/>
      <c r="C387" s="146">
        <v>5.2999999999999999E-2</v>
      </c>
      <c r="D387" s="320" t="s">
        <v>30</v>
      </c>
      <c r="E387" s="503">
        <f t="shared" si="76"/>
        <v>172068</v>
      </c>
      <c r="F387" s="503">
        <f t="shared" si="76"/>
        <v>9119</v>
      </c>
      <c r="G387" s="503">
        <f>노임!D14</f>
        <v>172068</v>
      </c>
      <c r="H387" s="503">
        <f>INT(C387*G387)</f>
        <v>9119</v>
      </c>
      <c r="I387" s="503">
        <v>0</v>
      </c>
      <c r="J387" s="503">
        <f>INT(C387*I387)</f>
        <v>0</v>
      </c>
      <c r="K387" s="503">
        <v>0</v>
      </c>
      <c r="L387" s="504">
        <f>INT(C387*K387)</f>
        <v>0</v>
      </c>
    </row>
    <row r="388" spans="1:12" ht="15" customHeight="1">
      <c r="A388" s="151" t="s">
        <v>1182</v>
      </c>
      <c r="B388" s="152" t="s">
        <v>2313</v>
      </c>
      <c r="C388" s="749">
        <v>0.08</v>
      </c>
      <c r="D388" s="320" t="s">
        <v>416</v>
      </c>
      <c r="E388" s="503">
        <f t="shared" si="76"/>
        <v>25399</v>
      </c>
      <c r="F388" s="503">
        <f t="shared" si="76"/>
        <v>2031</v>
      </c>
      <c r="G388" s="503">
        <v>0</v>
      </c>
      <c r="H388" s="503">
        <f>INT(C388*G388)</f>
        <v>0</v>
      </c>
      <c r="I388" s="503">
        <v>0</v>
      </c>
      <c r="J388" s="503">
        <f>INT(C388*I388)</f>
        <v>0</v>
      </c>
      <c r="K388" s="503">
        <f>SUM(H386:H387)</f>
        <v>25399</v>
      </c>
      <c r="L388" s="504">
        <f>INT(C388*K388)</f>
        <v>2031</v>
      </c>
    </row>
    <row r="389" spans="1:12" ht="15" customHeight="1">
      <c r="A389" s="151" t="s">
        <v>1183</v>
      </c>
      <c r="B389" s="152" t="s">
        <v>1185</v>
      </c>
      <c r="C389" s="505">
        <v>0.20599999999999999</v>
      </c>
      <c r="D389" s="320" t="s">
        <v>1186</v>
      </c>
      <c r="E389" s="503">
        <f t="shared" si="76"/>
        <v>80280</v>
      </c>
      <c r="F389" s="503">
        <f t="shared" si="76"/>
        <v>16536</v>
      </c>
      <c r="G389" s="503">
        <f>중기일람!D12</f>
        <v>57077</v>
      </c>
      <c r="H389" s="503">
        <f>INT(C389*G389)</f>
        <v>11757</v>
      </c>
      <c r="I389" s="503">
        <f>중기일람!E12</f>
        <v>10637</v>
      </c>
      <c r="J389" s="503">
        <f>INT(C389*I389)</f>
        <v>2191</v>
      </c>
      <c r="K389" s="503">
        <f>중기일람!F12</f>
        <v>12566</v>
      </c>
      <c r="L389" s="504">
        <f>INT(C389*K389)</f>
        <v>2588</v>
      </c>
    </row>
    <row r="390" spans="1:12" ht="15" customHeight="1">
      <c r="A390" s="154" t="s">
        <v>617</v>
      </c>
      <c r="B390" s="506"/>
      <c r="C390" s="158"/>
      <c r="D390" s="507"/>
      <c r="E390" s="508"/>
      <c r="F390" s="508">
        <f>H390+J390+L390</f>
        <v>43966</v>
      </c>
      <c r="G390" s="508"/>
      <c r="H390" s="508">
        <f>SUM(H386:H389)</f>
        <v>37156</v>
      </c>
      <c r="I390" s="508"/>
      <c r="J390" s="508">
        <f>SUM(J386:J389)</f>
        <v>2191</v>
      </c>
      <c r="K390" s="508"/>
      <c r="L390" s="509">
        <f>SUM(L386:L389)</f>
        <v>4619</v>
      </c>
    </row>
    <row r="391" spans="1:12" ht="15" customHeight="1">
      <c r="A391" s="209"/>
      <c r="B391" s="210"/>
      <c r="C391" s="95"/>
      <c r="D391" s="211"/>
      <c r="E391" s="212">
        <f>E385+1</f>
        <v>65</v>
      </c>
      <c r="F391" s="297" t="s">
        <v>2312</v>
      </c>
      <c r="G391" s="95"/>
      <c r="H391" s="298"/>
      <c r="I391" s="299"/>
      <c r="J391" s="298" t="s">
        <v>1069</v>
      </c>
      <c r="K391" s="299"/>
      <c r="L391" s="300"/>
    </row>
    <row r="392" spans="1:12" ht="15" customHeight="1">
      <c r="A392" s="498" t="s">
        <v>1365</v>
      </c>
      <c r="B392" s="499"/>
      <c r="C392" s="163">
        <v>2.7E-2</v>
      </c>
      <c r="D392" s="500" t="s">
        <v>30</v>
      </c>
      <c r="E392" s="501">
        <f t="shared" ref="E392:F395" si="77">G392+I392+K392</f>
        <v>226122</v>
      </c>
      <c r="F392" s="501">
        <f t="shared" si="77"/>
        <v>6105</v>
      </c>
      <c r="G392" s="501">
        <f>G398</f>
        <v>226122</v>
      </c>
      <c r="H392" s="501">
        <f>INT(C392*G392)</f>
        <v>6105</v>
      </c>
      <c r="I392" s="501">
        <v>0</v>
      </c>
      <c r="J392" s="501">
        <f>INT(C392*I392)</f>
        <v>0</v>
      </c>
      <c r="K392" s="501">
        <v>0</v>
      </c>
      <c r="L392" s="502">
        <f>INT(C392*K392)</f>
        <v>0</v>
      </c>
    </row>
    <row r="393" spans="1:12" ht="15" customHeight="1">
      <c r="A393" s="151" t="s">
        <v>27</v>
      </c>
      <c r="B393" s="152"/>
      <c r="C393" s="150">
        <v>0.02</v>
      </c>
      <c r="D393" s="320" t="s">
        <v>30</v>
      </c>
      <c r="E393" s="503">
        <f t="shared" si="77"/>
        <v>172068</v>
      </c>
      <c r="F393" s="503">
        <f t="shared" si="77"/>
        <v>3441</v>
      </c>
      <c r="G393" s="503">
        <f>G399</f>
        <v>172068</v>
      </c>
      <c r="H393" s="503">
        <f>INT(C393*G393)</f>
        <v>3441</v>
      </c>
      <c r="I393" s="503">
        <v>0</v>
      </c>
      <c r="J393" s="503">
        <f>INT(C393*I393)</f>
        <v>0</v>
      </c>
      <c r="K393" s="503">
        <v>0</v>
      </c>
      <c r="L393" s="504">
        <f>INT(C393*K393)</f>
        <v>0</v>
      </c>
    </row>
    <row r="394" spans="1:12" ht="15" customHeight="1">
      <c r="A394" s="151" t="s">
        <v>1182</v>
      </c>
      <c r="B394" s="152" t="s">
        <v>2313</v>
      </c>
      <c r="C394" s="749">
        <v>0.08</v>
      </c>
      <c r="D394" s="320" t="s">
        <v>416</v>
      </c>
      <c r="E394" s="503">
        <f t="shared" si="77"/>
        <v>9546</v>
      </c>
      <c r="F394" s="503">
        <f t="shared" si="77"/>
        <v>763</v>
      </c>
      <c r="G394" s="503"/>
      <c r="H394" s="503">
        <f>INT(C394*G394)</f>
        <v>0</v>
      </c>
      <c r="I394" s="503"/>
      <c r="J394" s="503">
        <f>INT(C394*I394)</f>
        <v>0</v>
      </c>
      <c r="K394" s="503">
        <f>SUM(H392:H393)</f>
        <v>9546</v>
      </c>
      <c r="L394" s="504">
        <f>INT(C394*K394)</f>
        <v>763</v>
      </c>
    </row>
    <row r="395" spans="1:12" ht="15" customHeight="1">
      <c r="A395" s="151" t="s">
        <v>1183</v>
      </c>
      <c r="B395" s="152" t="s">
        <v>1185</v>
      </c>
      <c r="C395" s="505">
        <v>0.14099999999999999</v>
      </c>
      <c r="D395" s="320" t="s">
        <v>1186</v>
      </c>
      <c r="E395" s="503">
        <f t="shared" si="77"/>
        <v>80280</v>
      </c>
      <c r="F395" s="503">
        <f t="shared" si="77"/>
        <v>11317</v>
      </c>
      <c r="G395" s="503">
        <f>G401</f>
        <v>57077</v>
      </c>
      <c r="H395" s="503">
        <f>INT(C395*G395)</f>
        <v>8047</v>
      </c>
      <c r="I395" s="503">
        <f>I401</f>
        <v>10637</v>
      </c>
      <c r="J395" s="503">
        <f>INT(C395*I395)</f>
        <v>1499</v>
      </c>
      <c r="K395" s="503">
        <f>K401</f>
        <v>12566</v>
      </c>
      <c r="L395" s="504">
        <f>INT(C395*K395)</f>
        <v>1771</v>
      </c>
    </row>
    <row r="396" spans="1:12" ht="15" customHeight="1">
      <c r="A396" s="154" t="s">
        <v>617</v>
      </c>
      <c r="B396" s="506"/>
      <c r="C396" s="158"/>
      <c r="D396" s="507"/>
      <c r="E396" s="508"/>
      <c r="F396" s="508">
        <f>H396+J396+L396</f>
        <v>21626</v>
      </c>
      <c r="G396" s="508"/>
      <c r="H396" s="508">
        <f>SUM(H392:H395)</f>
        <v>17593</v>
      </c>
      <c r="I396" s="508"/>
      <c r="J396" s="508">
        <f>SUM(J392:J395)</f>
        <v>1499</v>
      </c>
      <c r="K396" s="508"/>
      <c r="L396" s="509">
        <f>SUM(L392:L395)</f>
        <v>2534</v>
      </c>
    </row>
    <row r="397" spans="1:12" ht="15" customHeight="1">
      <c r="A397" s="209"/>
      <c r="B397" s="210"/>
      <c r="C397" s="95"/>
      <c r="D397" s="211"/>
      <c r="E397" s="212">
        <f>E391+1</f>
        <v>66</v>
      </c>
      <c r="F397" s="297" t="s">
        <v>1532</v>
      </c>
      <c r="G397" s="95"/>
      <c r="H397" s="298"/>
      <c r="I397" s="299"/>
      <c r="J397" s="298" t="s">
        <v>1069</v>
      </c>
      <c r="K397" s="299"/>
      <c r="L397" s="300"/>
    </row>
    <row r="398" spans="1:12" ht="15" customHeight="1">
      <c r="A398" s="498" t="s">
        <v>1365</v>
      </c>
      <c r="B398" s="499"/>
      <c r="C398" s="163">
        <v>3.7999999999999999E-2</v>
      </c>
      <c r="D398" s="500" t="s">
        <v>30</v>
      </c>
      <c r="E398" s="501">
        <f t="shared" ref="E398:F401" si="78">G398+I398+K398</f>
        <v>226122</v>
      </c>
      <c r="F398" s="501">
        <f t="shared" si="78"/>
        <v>8592</v>
      </c>
      <c r="G398" s="501">
        <f>G386</f>
        <v>226122</v>
      </c>
      <c r="H398" s="501">
        <f>INT(C398*G398)</f>
        <v>8592</v>
      </c>
      <c r="I398" s="501">
        <v>0</v>
      </c>
      <c r="J398" s="501">
        <f>INT(C398*I398)</f>
        <v>0</v>
      </c>
      <c r="K398" s="501">
        <v>0</v>
      </c>
      <c r="L398" s="502">
        <f>INT(C398*K398)</f>
        <v>0</v>
      </c>
    </row>
    <row r="399" spans="1:12" ht="15" customHeight="1">
      <c r="A399" s="151" t="s">
        <v>27</v>
      </c>
      <c r="B399" s="152"/>
      <c r="C399" s="146">
        <v>2.8000000000000001E-2</v>
      </c>
      <c r="D399" s="320" t="s">
        <v>30</v>
      </c>
      <c r="E399" s="503">
        <f t="shared" si="78"/>
        <v>172068</v>
      </c>
      <c r="F399" s="503">
        <f t="shared" si="78"/>
        <v>4817</v>
      </c>
      <c r="G399" s="503">
        <f>G387</f>
        <v>172068</v>
      </c>
      <c r="H399" s="503">
        <f>INT(C399*G399)</f>
        <v>4817</v>
      </c>
      <c r="I399" s="503">
        <v>0</v>
      </c>
      <c r="J399" s="503">
        <f>INT(C399*I399)</f>
        <v>0</v>
      </c>
      <c r="K399" s="503">
        <v>0</v>
      </c>
      <c r="L399" s="504">
        <f>INT(C399*K399)</f>
        <v>0</v>
      </c>
    </row>
    <row r="400" spans="1:12" ht="15" customHeight="1">
      <c r="A400" s="151" t="s">
        <v>1182</v>
      </c>
      <c r="B400" s="152" t="s">
        <v>2313</v>
      </c>
      <c r="C400" s="749">
        <v>0.08</v>
      </c>
      <c r="D400" s="320" t="s">
        <v>416</v>
      </c>
      <c r="E400" s="503">
        <f t="shared" si="78"/>
        <v>13409</v>
      </c>
      <c r="F400" s="503">
        <f t="shared" si="78"/>
        <v>1072</v>
      </c>
      <c r="G400" s="503">
        <v>0</v>
      </c>
      <c r="H400" s="503">
        <f>INT(C400*G400)</f>
        <v>0</v>
      </c>
      <c r="I400" s="503">
        <v>0</v>
      </c>
      <c r="J400" s="503">
        <f>INT(C400*I400)</f>
        <v>0</v>
      </c>
      <c r="K400" s="503">
        <f>SUM(H398:H399)</f>
        <v>13409</v>
      </c>
      <c r="L400" s="504">
        <f>INT(C400*K400)</f>
        <v>1072</v>
      </c>
    </row>
    <row r="401" spans="1:12" ht="15" customHeight="1">
      <c r="A401" s="151" t="s">
        <v>1183</v>
      </c>
      <c r="B401" s="152" t="s">
        <v>1185</v>
      </c>
      <c r="C401" s="505">
        <v>0.154</v>
      </c>
      <c r="D401" s="320" t="s">
        <v>1186</v>
      </c>
      <c r="E401" s="503">
        <f t="shared" si="78"/>
        <v>80280</v>
      </c>
      <c r="F401" s="503">
        <f t="shared" si="78"/>
        <v>12362</v>
      </c>
      <c r="G401" s="503">
        <f>G389</f>
        <v>57077</v>
      </c>
      <c r="H401" s="503">
        <f>INT(C401*G401)</f>
        <v>8789</v>
      </c>
      <c r="I401" s="503">
        <f>I389</f>
        <v>10637</v>
      </c>
      <c r="J401" s="503">
        <f>INT(C401*I401)</f>
        <v>1638</v>
      </c>
      <c r="K401" s="503">
        <f>K389</f>
        <v>12566</v>
      </c>
      <c r="L401" s="504">
        <f>INT(C401*K401)</f>
        <v>1935</v>
      </c>
    </row>
    <row r="402" spans="1:12" ht="15" customHeight="1">
      <c r="A402" s="154" t="s">
        <v>617</v>
      </c>
      <c r="B402" s="506"/>
      <c r="C402" s="158"/>
      <c r="D402" s="507"/>
      <c r="E402" s="508"/>
      <c r="F402" s="508">
        <f>H402+J402+L402</f>
        <v>26843</v>
      </c>
      <c r="G402" s="508"/>
      <c r="H402" s="508">
        <f>SUM(H398:H401)</f>
        <v>22198</v>
      </c>
      <c r="I402" s="508"/>
      <c r="J402" s="508">
        <f>SUM(J398:J401)</f>
        <v>1638</v>
      </c>
      <c r="K402" s="508"/>
      <c r="L402" s="509">
        <f>SUM(L398:L401)</f>
        <v>3007</v>
      </c>
    </row>
    <row r="403" spans="1:12" ht="15" customHeight="1">
      <c r="A403" s="209"/>
      <c r="B403" s="210"/>
      <c r="C403" s="95"/>
      <c r="D403" s="211"/>
      <c r="E403" s="212">
        <f>E397+1</f>
        <v>67</v>
      </c>
      <c r="F403" s="297" t="s">
        <v>40</v>
      </c>
      <c r="G403" s="95"/>
      <c r="H403" s="298"/>
      <c r="I403" s="299"/>
      <c r="J403" s="298" t="s">
        <v>1069</v>
      </c>
      <c r="K403" s="299"/>
      <c r="L403" s="300"/>
    </row>
    <row r="404" spans="1:12" ht="15" customHeight="1">
      <c r="A404" s="498" t="s">
        <v>1365</v>
      </c>
      <c r="B404" s="499"/>
      <c r="C404" s="165">
        <v>0.05</v>
      </c>
      <c r="D404" s="500" t="s">
        <v>30</v>
      </c>
      <c r="E404" s="501">
        <f t="shared" ref="E404:F407" si="79">G404+I404+K404</f>
        <v>226122</v>
      </c>
      <c r="F404" s="501">
        <f t="shared" si="79"/>
        <v>11306</v>
      </c>
      <c r="G404" s="501">
        <f>G398</f>
        <v>226122</v>
      </c>
      <c r="H404" s="501">
        <f>INT(C404*G404)</f>
        <v>11306</v>
      </c>
      <c r="I404" s="501">
        <v>0</v>
      </c>
      <c r="J404" s="501">
        <f>INT(C404*I404)</f>
        <v>0</v>
      </c>
      <c r="K404" s="501">
        <v>0</v>
      </c>
      <c r="L404" s="502">
        <f>INT(C404*K404)</f>
        <v>0</v>
      </c>
    </row>
    <row r="405" spans="1:12" ht="15" customHeight="1">
      <c r="A405" s="151" t="s">
        <v>27</v>
      </c>
      <c r="B405" s="152"/>
      <c r="C405" s="146">
        <v>3.5999999999999997E-2</v>
      </c>
      <c r="D405" s="320" t="s">
        <v>30</v>
      </c>
      <c r="E405" s="503">
        <f t="shared" si="79"/>
        <v>172068</v>
      </c>
      <c r="F405" s="503">
        <f t="shared" si="79"/>
        <v>6194</v>
      </c>
      <c r="G405" s="503">
        <f>G399</f>
        <v>172068</v>
      </c>
      <c r="H405" s="503">
        <f>INT(C405*G405)</f>
        <v>6194</v>
      </c>
      <c r="I405" s="503">
        <v>0</v>
      </c>
      <c r="J405" s="503">
        <f>INT(C405*I405)</f>
        <v>0</v>
      </c>
      <c r="K405" s="503">
        <v>0</v>
      </c>
      <c r="L405" s="504">
        <f>INT(C405*K405)</f>
        <v>0</v>
      </c>
    </row>
    <row r="406" spans="1:12" ht="15" customHeight="1">
      <c r="A406" s="151" t="s">
        <v>1182</v>
      </c>
      <c r="B406" s="152" t="s">
        <v>2313</v>
      </c>
      <c r="C406" s="749">
        <v>0.08</v>
      </c>
      <c r="D406" s="320" t="s">
        <v>416</v>
      </c>
      <c r="E406" s="503">
        <f t="shared" si="79"/>
        <v>17500</v>
      </c>
      <c r="F406" s="503">
        <f t="shared" si="79"/>
        <v>1400</v>
      </c>
      <c r="G406" s="503">
        <v>0</v>
      </c>
      <c r="H406" s="503">
        <f>INT(C406*G406)</f>
        <v>0</v>
      </c>
      <c r="I406" s="503">
        <v>0</v>
      </c>
      <c r="J406" s="503">
        <f>INT(C406*I406)</f>
        <v>0</v>
      </c>
      <c r="K406" s="503">
        <f>SUM(H404:H405)</f>
        <v>17500</v>
      </c>
      <c r="L406" s="504">
        <f>INT(C406*K406)</f>
        <v>1400</v>
      </c>
    </row>
    <row r="407" spans="1:12" ht="15" customHeight="1">
      <c r="A407" s="151" t="s">
        <v>1183</v>
      </c>
      <c r="B407" s="152" t="s">
        <v>1185</v>
      </c>
      <c r="C407" s="749">
        <v>0.18</v>
      </c>
      <c r="D407" s="320" t="s">
        <v>1186</v>
      </c>
      <c r="E407" s="503">
        <f t="shared" si="79"/>
        <v>80280</v>
      </c>
      <c r="F407" s="503">
        <f t="shared" si="79"/>
        <v>14448</v>
      </c>
      <c r="G407" s="503">
        <f>G401</f>
        <v>57077</v>
      </c>
      <c r="H407" s="503">
        <f>INT(C407*G407)</f>
        <v>10273</v>
      </c>
      <c r="I407" s="503">
        <f>I401</f>
        <v>10637</v>
      </c>
      <c r="J407" s="503">
        <f>INT(C407*I407)</f>
        <v>1914</v>
      </c>
      <c r="K407" s="503">
        <f>K401</f>
        <v>12566</v>
      </c>
      <c r="L407" s="504">
        <f>INT(C407*K407)</f>
        <v>2261</v>
      </c>
    </row>
    <row r="408" spans="1:12" ht="15" customHeight="1">
      <c r="A408" s="154" t="s">
        <v>617</v>
      </c>
      <c r="B408" s="506"/>
      <c r="C408" s="158"/>
      <c r="D408" s="507"/>
      <c r="E408" s="508"/>
      <c r="F408" s="508">
        <f>H408+J408+L408</f>
        <v>33348</v>
      </c>
      <c r="G408" s="508"/>
      <c r="H408" s="508">
        <f>SUM(H404:H407)</f>
        <v>27773</v>
      </c>
      <c r="I408" s="508"/>
      <c r="J408" s="508">
        <f>SUM(J404:J407)</f>
        <v>1914</v>
      </c>
      <c r="K408" s="508"/>
      <c r="L408" s="509">
        <f>SUM(L404:L407)</f>
        <v>3661</v>
      </c>
    </row>
    <row r="409" spans="1:12" ht="15" customHeight="1">
      <c r="A409" s="209"/>
      <c r="B409" s="210"/>
      <c r="C409" s="95"/>
      <c r="D409" s="211"/>
      <c r="E409" s="212">
        <f>E403+1</f>
        <v>68</v>
      </c>
      <c r="F409" s="297" t="s">
        <v>1533</v>
      </c>
      <c r="G409" s="95"/>
      <c r="H409" s="298"/>
      <c r="I409" s="299"/>
      <c r="J409" s="298" t="s">
        <v>1069</v>
      </c>
      <c r="K409" s="299"/>
      <c r="L409" s="300"/>
    </row>
    <row r="410" spans="1:12" ht="15" customHeight="1">
      <c r="A410" s="498" t="s">
        <v>1365</v>
      </c>
      <c r="B410" s="499"/>
      <c r="C410" s="163">
        <v>6.0999999999999999E-2</v>
      </c>
      <c r="D410" s="500" t="s">
        <v>30</v>
      </c>
      <c r="E410" s="501">
        <f t="shared" ref="E410:F413" si="80">G410+I410+K410</f>
        <v>226122</v>
      </c>
      <c r="F410" s="501">
        <f t="shared" si="80"/>
        <v>13793</v>
      </c>
      <c r="G410" s="501">
        <f>G398</f>
        <v>226122</v>
      </c>
      <c r="H410" s="501">
        <f>INT(C410*G410)</f>
        <v>13793</v>
      </c>
      <c r="I410" s="501">
        <v>0</v>
      </c>
      <c r="J410" s="501">
        <f>INT(C410*I410)</f>
        <v>0</v>
      </c>
      <c r="K410" s="501">
        <v>0</v>
      </c>
      <c r="L410" s="502">
        <f>INT(C410*K410)</f>
        <v>0</v>
      </c>
    </row>
    <row r="411" spans="1:12" ht="15" customHeight="1">
      <c r="A411" s="151" t="s">
        <v>27</v>
      </c>
      <c r="B411" s="152"/>
      <c r="C411" s="146">
        <v>4.4999999999999998E-2</v>
      </c>
      <c r="D411" s="320" t="s">
        <v>30</v>
      </c>
      <c r="E411" s="503">
        <f t="shared" si="80"/>
        <v>172068</v>
      </c>
      <c r="F411" s="503">
        <f t="shared" si="80"/>
        <v>7743</v>
      </c>
      <c r="G411" s="503">
        <f>G399</f>
        <v>172068</v>
      </c>
      <c r="H411" s="503">
        <f>INT(C411*G411)</f>
        <v>7743</v>
      </c>
      <c r="I411" s="503">
        <v>0</v>
      </c>
      <c r="J411" s="503">
        <f>INT(C411*I411)</f>
        <v>0</v>
      </c>
      <c r="K411" s="503">
        <v>0</v>
      </c>
      <c r="L411" s="504">
        <f>INT(C411*K411)</f>
        <v>0</v>
      </c>
    </row>
    <row r="412" spans="1:12" ht="15" customHeight="1">
      <c r="A412" s="151" t="s">
        <v>1182</v>
      </c>
      <c r="B412" s="152" t="s">
        <v>2313</v>
      </c>
      <c r="C412" s="749">
        <v>0.08</v>
      </c>
      <c r="D412" s="320" t="s">
        <v>416</v>
      </c>
      <c r="E412" s="503">
        <f t="shared" si="80"/>
        <v>21536</v>
      </c>
      <c r="F412" s="503">
        <f t="shared" si="80"/>
        <v>1722</v>
      </c>
      <c r="G412" s="503">
        <v>0</v>
      </c>
      <c r="H412" s="503">
        <f>INT(C412*G412)</f>
        <v>0</v>
      </c>
      <c r="I412" s="503">
        <v>0</v>
      </c>
      <c r="J412" s="503">
        <f>INT(C412*I412)</f>
        <v>0</v>
      </c>
      <c r="K412" s="503">
        <f>SUM(H410:H411)</f>
        <v>21536</v>
      </c>
      <c r="L412" s="504">
        <f>INT(C412*K412)</f>
        <v>1722</v>
      </c>
    </row>
    <row r="413" spans="1:12" ht="15" customHeight="1">
      <c r="A413" s="151" t="s">
        <v>1183</v>
      </c>
      <c r="B413" s="152" t="s">
        <v>1185</v>
      </c>
      <c r="C413" s="505">
        <v>0.193</v>
      </c>
      <c r="D413" s="320" t="s">
        <v>1186</v>
      </c>
      <c r="E413" s="503">
        <f t="shared" si="80"/>
        <v>80280</v>
      </c>
      <c r="F413" s="503">
        <f t="shared" si="80"/>
        <v>15492</v>
      </c>
      <c r="G413" s="503">
        <f>G401</f>
        <v>57077</v>
      </c>
      <c r="H413" s="503">
        <f>INT(C413*G413)</f>
        <v>11015</v>
      </c>
      <c r="I413" s="503">
        <f>I401</f>
        <v>10637</v>
      </c>
      <c r="J413" s="503">
        <f>INT(C413*I413)</f>
        <v>2052</v>
      </c>
      <c r="K413" s="503">
        <f>K401</f>
        <v>12566</v>
      </c>
      <c r="L413" s="504">
        <f>INT(C413*K413)</f>
        <v>2425</v>
      </c>
    </row>
    <row r="414" spans="1:12" ht="15" customHeight="1">
      <c r="A414" s="154" t="s">
        <v>617</v>
      </c>
      <c r="B414" s="506"/>
      <c r="C414" s="158"/>
      <c r="D414" s="507"/>
      <c r="E414" s="508"/>
      <c r="F414" s="508">
        <f>H414+J414+L414</f>
        <v>38750</v>
      </c>
      <c r="G414" s="508"/>
      <c r="H414" s="508">
        <f>SUM(H410:H413)</f>
        <v>32551</v>
      </c>
      <c r="I414" s="508"/>
      <c r="J414" s="508">
        <f>SUM(J410:J413)</f>
        <v>2052</v>
      </c>
      <c r="K414" s="508"/>
      <c r="L414" s="509">
        <f>SUM(L410:L413)</f>
        <v>4147</v>
      </c>
    </row>
    <row r="415" spans="1:12" ht="15" customHeight="1">
      <c r="A415" s="209"/>
      <c r="B415" s="210"/>
      <c r="C415" s="95"/>
      <c r="D415" s="211"/>
      <c r="E415" s="212">
        <f>E409+1</f>
        <v>69</v>
      </c>
      <c r="F415" s="297" t="s">
        <v>2188</v>
      </c>
      <c r="G415" s="95"/>
      <c r="H415" s="298"/>
      <c r="I415" s="299"/>
      <c r="J415" s="298" t="s">
        <v>1069</v>
      </c>
      <c r="K415" s="299"/>
      <c r="L415" s="300"/>
    </row>
    <row r="416" spans="1:12" ht="15" customHeight="1">
      <c r="A416" s="498" t="s">
        <v>1365</v>
      </c>
      <c r="B416" s="499"/>
      <c r="C416" s="163">
        <v>9.8000000000000004E-2</v>
      </c>
      <c r="D416" s="500" t="s">
        <v>30</v>
      </c>
      <c r="E416" s="501">
        <f t="shared" ref="E416:F419" si="81">G416+I416+K416</f>
        <v>226122</v>
      </c>
      <c r="F416" s="501">
        <f t="shared" si="81"/>
        <v>22159</v>
      </c>
      <c r="G416" s="501">
        <f>G410</f>
        <v>226122</v>
      </c>
      <c r="H416" s="501">
        <f>INT(C416*G416)</f>
        <v>22159</v>
      </c>
      <c r="I416" s="501">
        <v>0</v>
      </c>
      <c r="J416" s="501">
        <f>INT(C416*I416)</f>
        <v>0</v>
      </c>
      <c r="K416" s="501">
        <v>0</v>
      </c>
      <c r="L416" s="502">
        <f>INT(C416*K416)</f>
        <v>0</v>
      </c>
    </row>
    <row r="417" spans="1:12" ht="15" customHeight="1">
      <c r="A417" s="151" t="s">
        <v>27</v>
      </c>
      <c r="B417" s="152"/>
      <c r="C417" s="146">
        <v>6.7000000000000004E-2</v>
      </c>
      <c r="D417" s="320" t="s">
        <v>30</v>
      </c>
      <c r="E417" s="503">
        <f t="shared" si="81"/>
        <v>172068</v>
      </c>
      <c r="F417" s="503">
        <f t="shared" si="81"/>
        <v>11528</v>
      </c>
      <c r="G417" s="503">
        <f>G411</f>
        <v>172068</v>
      </c>
      <c r="H417" s="503">
        <f>INT(C417*G417)</f>
        <v>11528</v>
      </c>
      <c r="I417" s="503">
        <v>0</v>
      </c>
      <c r="J417" s="503">
        <f>INT(C417*I417)</f>
        <v>0</v>
      </c>
      <c r="K417" s="503">
        <v>0</v>
      </c>
      <c r="L417" s="504">
        <f>INT(C417*K417)</f>
        <v>0</v>
      </c>
    </row>
    <row r="418" spans="1:12" ht="15" customHeight="1">
      <c r="A418" s="151" t="s">
        <v>1182</v>
      </c>
      <c r="B418" s="152" t="s">
        <v>2313</v>
      </c>
      <c r="C418" s="749">
        <v>0.08</v>
      </c>
      <c r="D418" s="320" t="s">
        <v>416</v>
      </c>
      <c r="E418" s="503">
        <f t="shared" si="81"/>
        <v>33687</v>
      </c>
      <c r="F418" s="503">
        <f t="shared" si="81"/>
        <v>2694</v>
      </c>
      <c r="G418" s="503">
        <v>0</v>
      </c>
      <c r="H418" s="503">
        <f>INT(C418*G418)</f>
        <v>0</v>
      </c>
      <c r="I418" s="503">
        <v>0</v>
      </c>
      <c r="J418" s="503">
        <f>INT(C418*I418)</f>
        <v>0</v>
      </c>
      <c r="K418" s="503">
        <f>SUM(H416:H417)</f>
        <v>33687</v>
      </c>
      <c r="L418" s="504">
        <f>INT(C418*K418)</f>
        <v>2694</v>
      </c>
    </row>
    <row r="419" spans="1:12" ht="15" customHeight="1">
      <c r="A419" s="151" t="s">
        <v>1183</v>
      </c>
      <c r="B419" s="152" t="s">
        <v>1185</v>
      </c>
      <c r="C419" s="505">
        <v>0.246</v>
      </c>
      <c r="D419" s="320" t="s">
        <v>1186</v>
      </c>
      <c r="E419" s="503">
        <f t="shared" si="81"/>
        <v>80280</v>
      </c>
      <c r="F419" s="503">
        <f t="shared" si="81"/>
        <v>19747</v>
      </c>
      <c r="G419" s="503">
        <f>G413</f>
        <v>57077</v>
      </c>
      <c r="H419" s="503">
        <f>INT(C419*G419)</f>
        <v>14040</v>
      </c>
      <c r="I419" s="503">
        <f>I413</f>
        <v>10637</v>
      </c>
      <c r="J419" s="503">
        <f>INT(C419*I419)</f>
        <v>2616</v>
      </c>
      <c r="K419" s="503">
        <f>K413</f>
        <v>12566</v>
      </c>
      <c r="L419" s="504">
        <f>INT(C419*K419)</f>
        <v>3091</v>
      </c>
    </row>
    <row r="420" spans="1:12" ht="15" customHeight="1">
      <c r="A420" s="154" t="s">
        <v>617</v>
      </c>
      <c r="B420" s="506"/>
      <c r="C420" s="158"/>
      <c r="D420" s="507"/>
      <c r="E420" s="508"/>
      <c r="F420" s="508">
        <f>H420+J420+L420</f>
        <v>56128</v>
      </c>
      <c r="G420" s="508"/>
      <c r="H420" s="508">
        <f>SUM(H416:H419)</f>
        <v>47727</v>
      </c>
      <c r="I420" s="508"/>
      <c r="J420" s="508">
        <f>SUM(J416:J419)</f>
        <v>2616</v>
      </c>
      <c r="K420" s="508"/>
      <c r="L420" s="509">
        <f>SUM(L416:L419)</f>
        <v>5785</v>
      </c>
    </row>
    <row r="421" spans="1:12" ht="15" customHeight="1">
      <c r="A421" s="209"/>
      <c r="B421" s="210"/>
      <c r="C421" s="95"/>
      <c r="D421" s="211"/>
      <c r="E421" s="212">
        <f>E415+1</f>
        <v>70</v>
      </c>
      <c r="F421" s="297" t="s">
        <v>2187</v>
      </c>
      <c r="G421" s="95"/>
      <c r="H421" s="298"/>
      <c r="I421" s="299"/>
      <c r="J421" s="298" t="s">
        <v>1069</v>
      </c>
      <c r="K421" s="299"/>
      <c r="L421" s="300"/>
    </row>
    <row r="422" spans="1:12" ht="15" customHeight="1">
      <c r="A422" s="498" t="s">
        <v>1365</v>
      </c>
      <c r="B422" s="499"/>
      <c r="C422" s="163">
        <v>0.13400000000000001</v>
      </c>
      <c r="D422" s="500" t="s">
        <v>30</v>
      </c>
      <c r="E422" s="501">
        <f t="shared" ref="E422:F425" si="82">G422+I422+K422</f>
        <v>226122</v>
      </c>
      <c r="F422" s="501">
        <f t="shared" si="82"/>
        <v>30300</v>
      </c>
      <c r="G422" s="501">
        <f>G416</f>
        <v>226122</v>
      </c>
      <c r="H422" s="501">
        <f>INT(C422*G422)</f>
        <v>30300</v>
      </c>
      <c r="I422" s="501">
        <v>0</v>
      </c>
      <c r="J422" s="501">
        <f>INT(C422*I422)</f>
        <v>0</v>
      </c>
      <c r="K422" s="501">
        <v>0</v>
      </c>
      <c r="L422" s="502">
        <f>INT(C422*K422)</f>
        <v>0</v>
      </c>
    </row>
    <row r="423" spans="1:12" ht="15" customHeight="1">
      <c r="A423" s="151" t="s">
        <v>27</v>
      </c>
      <c r="B423" s="152"/>
      <c r="C423" s="146">
        <v>9.0999999999999998E-2</v>
      </c>
      <c r="D423" s="320" t="s">
        <v>30</v>
      </c>
      <c r="E423" s="503">
        <f t="shared" si="82"/>
        <v>172068</v>
      </c>
      <c r="F423" s="503">
        <f t="shared" si="82"/>
        <v>15658</v>
      </c>
      <c r="G423" s="503">
        <f>G417</f>
        <v>172068</v>
      </c>
      <c r="H423" s="503">
        <f>INT(C423*G423)</f>
        <v>15658</v>
      </c>
      <c r="I423" s="503">
        <v>0</v>
      </c>
      <c r="J423" s="503">
        <f>INT(C423*I423)</f>
        <v>0</v>
      </c>
      <c r="K423" s="503">
        <v>0</v>
      </c>
      <c r="L423" s="504">
        <f>INT(C423*K423)</f>
        <v>0</v>
      </c>
    </row>
    <row r="424" spans="1:12" ht="15" customHeight="1">
      <c r="A424" s="151" t="s">
        <v>1182</v>
      </c>
      <c r="B424" s="152" t="s">
        <v>2313</v>
      </c>
      <c r="C424" s="749">
        <v>0.08</v>
      </c>
      <c r="D424" s="320" t="s">
        <v>416</v>
      </c>
      <c r="E424" s="503">
        <f t="shared" si="82"/>
        <v>45958</v>
      </c>
      <c r="F424" s="503">
        <f t="shared" si="82"/>
        <v>3676</v>
      </c>
      <c r="G424" s="503">
        <v>0</v>
      </c>
      <c r="H424" s="503">
        <f>INT(C424*G424)</f>
        <v>0</v>
      </c>
      <c r="I424" s="503">
        <v>0</v>
      </c>
      <c r="J424" s="503">
        <f>INT(C424*I424)</f>
        <v>0</v>
      </c>
      <c r="K424" s="503">
        <f>SUM(H422:H423)</f>
        <v>45958</v>
      </c>
      <c r="L424" s="504">
        <f>INT(C424*K424)</f>
        <v>3676</v>
      </c>
    </row>
    <row r="425" spans="1:12" ht="15" customHeight="1">
      <c r="A425" s="151" t="s">
        <v>1183</v>
      </c>
      <c r="B425" s="152" t="s">
        <v>1185</v>
      </c>
      <c r="C425" s="749">
        <v>0.3</v>
      </c>
      <c r="D425" s="320" t="s">
        <v>1186</v>
      </c>
      <c r="E425" s="503">
        <f t="shared" si="82"/>
        <v>80280</v>
      </c>
      <c r="F425" s="503">
        <f t="shared" si="82"/>
        <v>24083</v>
      </c>
      <c r="G425" s="503">
        <f>G419</f>
        <v>57077</v>
      </c>
      <c r="H425" s="503">
        <f>INT(C425*G425)</f>
        <v>17123</v>
      </c>
      <c r="I425" s="503">
        <f>I419</f>
        <v>10637</v>
      </c>
      <c r="J425" s="503">
        <f>INT(C425*I425)</f>
        <v>3191</v>
      </c>
      <c r="K425" s="503">
        <f>K419</f>
        <v>12566</v>
      </c>
      <c r="L425" s="504">
        <f>INT(C425*K425)</f>
        <v>3769</v>
      </c>
    </row>
    <row r="426" spans="1:12" ht="15" customHeight="1">
      <c r="A426" s="154" t="s">
        <v>617</v>
      </c>
      <c r="B426" s="506"/>
      <c r="C426" s="158"/>
      <c r="D426" s="507"/>
      <c r="E426" s="508"/>
      <c r="F426" s="508">
        <f>H426+J426+L426</f>
        <v>73717</v>
      </c>
      <c r="G426" s="508"/>
      <c r="H426" s="508">
        <f>SUM(H422:H425)</f>
        <v>63081</v>
      </c>
      <c r="I426" s="508"/>
      <c r="J426" s="508">
        <f>SUM(J422:J425)</f>
        <v>3191</v>
      </c>
      <c r="K426" s="508"/>
      <c r="L426" s="509">
        <f>SUM(L422:L425)</f>
        <v>7445</v>
      </c>
    </row>
    <row r="427" spans="1:12" ht="15" customHeight="1">
      <c r="A427" s="209"/>
      <c r="B427" s="210"/>
      <c r="C427" s="95"/>
      <c r="D427" s="211"/>
      <c r="E427" s="212">
        <f>E421+1</f>
        <v>71</v>
      </c>
      <c r="F427" s="297" t="s">
        <v>2193</v>
      </c>
      <c r="G427" s="95"/>
      <c r="H427" s="298"/>
      <c r="I427" s="299"/>
      <c r="J427" s="298" t="s">
        <v>1069</v>
      </c>
      <c r="K427" s="299"/>
      <c r="L427" s="300"/>
    </row>
    <row r="428" spans="1:12" ht="15" customHeight="1">
      <c r="A428" s="498" t="s">
        <v>1365</v>
      </c>
      <c r="B428" s="499"/>
      <c r="C428" s="163">
        <v>0.158</v>
      </c>
      <c r="D428" s="500" t="s">
        <v>30</v>
      </c>
      <c r="E428" s="501">
        <f t="shared" ref="E428:F431" si="83">G428+I428+K428</f>
        <v>226122</v>
      </c>
      <c r="F428" s="501">
        <f t="shared" si="83"/>
        <v>35727</v>
      </c>
      <c r="G428" s="501">
        <f>G416</f>
        <v>226122</v>
      </c>
      <c r="H428" s="501">
        <f>INT(C428*G428)</f>
        <v>35727</v>
      </c>
      <c r="I428" s="501">
        <v>0</v>
      </c>
      <c r="J428" s="501">
        <f>INT(C428*I428)</f>
        <v>0</v>
      </c>
      <c r="K428" s="501">
        <v>0</v>
      </c>
      <c r="L428" s="502">
        <f>INT(C428*K428)</f>
        <v>0</v>
      </c>
    </row>
    <row r="429" spans="1:12" ht="15" customHeight="1">
      <c r="A429" s="151" t="s">
        <v>27</v>
      </c>
      <c r="B429" s="152"/>
      <c r="C429" s="146">
        <v>0.107</v>
      </c>
      <c r="D429" s="320" t="s">
        <v>30</v>
      </c>
      <c r="E429" s="503">
        <f t="shared" si="83"/>
        <v>172068</v>
      </c>
      <c r="F429" s="503">
        <f t="shared" si="83"/>
        <v>18411</v>
      </c>
      <c r="G429" s="503">
        <f>G417</f>
        <v>172068</v>
      </c>
      <c r="H429" s="503">
        <f>INT(C429*G429)</f>
        <v>18411</v>
      </c>
      <c r="I429" s="503">
        <v>0</v>
      </c>
      <c r="J429" s="503">
        <f>INT(C429*I429)</f>
        <v>0</v>
      </c>
      <c r="K429" s="503">
        <v>0</v>
      </c>
      <c r="L429" s="504">
        <f>INT(C429*K429)</f>
        <v>0</v>
      </c>
    </row>
    <row r="430" spans="1:12" ht="15" customHeight="1">
      <c r="A430" s="151" t="s">
        <v>1182</v>
      </c>
      <c r="B430" s="152" t="s">
        <v>2313</v>
      </c>
      <c r="C430" s="749">
        <v>0.08</v>
      </c>
      <c r="D430" s="320" t="s">
        <v>416</v>
      </c>
      <c r="E430" s="503">
        <f t="shared" si="83"/>
        <v>54138</v>
      </c>
      <c r="F430" s="503">
        <f t="shared" si="83"/>
        <v>4331</v>
      </c>
      <c r="G430" s="503">
        <v>0</v>
      </c>
      <c r="H430" s="503">
        <f>INT(C430*G430)</f>
        <v>0</v>
      </c>
      <c r="I430" s="503">
        <v>0</v>
      </c>
      <c r="J430" s="503">
        <f>INT(C430*I430)</f>
        <v>0</v>
      </c>
      <c r="K430" s="503">
        <f>SUM(H428:H429)</f>
        <v>54138</v>
      </c>
      <c r="L430" s="504">
        <f>INT(C430*K430)</f>
        <v>4331</v>
      </c>
    </row>
    <row r="431" spans="1:12" ht="15" customHeight="1">
      <c r="A431" s="151" t="s">
        <v>1183</v>
      </c>
      <c r="B431" s="152" t="s">
        <v>1185</v>
      </c>
      <c r="C431" s="505">
        <v>0.33600000000000002</v>
      </c>
      <c r="D431" s="320" t="s">
        <v>1186</v>
      </c>
      <c r="E431" s="503">
        <f t="shared" si="83"/>
        <v>80280</v>
      </c>
      <c r="F431" s="503">
        <f t="shared" si="83"/>
        <v>26973</v>
      </c>
      <c r="G431" s="503">
        <f>G419</f>
        <v>57077</v>
      </c>
      <c r="H431" s="503">
        <f>INT(C431*G431)</f>
        <v>19177</v>
      </c>
      <c r="I431" s="503">
        <f>I419</f>
        <v>10637</v>
      </c>
      <c r="J431" s="503">
        <f>INT(C431*I431)</f>
        <v>3574</v>
      </c>
      <c r="K431" s="503">
        <f>K419</f>
        <v>12566</v>
      </c>
      <c r="L431" s="504">
        <f>INT(C431*K431)</f>
        <v>4222</v>
      </c>
    </row>
    <row r="432" spans="1:12" ht="15" customHeight="1">
      <c r="A432" s="154" t="s">
        <v>617</v>
      </c>
      <c r="B432" s="506"/>
      <c r="C432" s="158"/>
      <c r="D432" s="507"/>
      <c r="E432" s="508"/>
      <c r="F432" s="508">
        <f>H432+J432+L432</f>
        <v>85442</v>
      </c>
      <c r="G432" s="508"/>
      <c r="H432" s="508">
        <f>SUM(H428:H431)</f>
        <v>73315</v>
      </c>
      <c r="I432" s="508"/>
      <c r="J432" s="508">
        <f>SUM(J428:J431)</f>
        <v>3574</v>
      </c>
      <c r="K432" s="508"/>
      <c r="L432" s="509">
        <f>SUM(L428:L431)</f>
        <v>8553</v>
      </c>
    </row>
    <row r="433" spans="1:12" ht="15" customHeight="1">
      <c r="A433" s="209"/>
      <c r="B433" s="210"/>
      <c r="C433" s="95"/>
      <c r="D433" s="211"/>
      <c r="E433" s="212">
        <f>E427+1</f>
        <v>72</v>
      </c>
      <c r="F433" s="297" t="s">
        <v>2091</v>
      </c>
      <c r="G433" s="95"/>
      <c r="H433" s="298"/>
      <c r="I433" s="299"/>
      <c r="J433" s="298" t="s">
        <v>1069</v>
      </c>
      <c r="K433" s="299"/>
      <c r="L433" s="300"/>
    </row>
    <row r="434" spans="1:12" ht="15" customHeight="1">
      <c r="A434" s="498" t="s">
        <v>1365</v>
      </c>
      <c r="B434" s="499"/>
      <c r="C434" s="163">
        <v>7.0000000000000007E-2</v>
      </c>
      <c r="D434" s="500" t="s">
        <v>30</v>
      </c>
      <c r="E434" s="501">
        <f t="shared" ref="E434:F437" si="84">G434+I434+K434</f>
        <v>226122</v>
      </c>
      <c r="F434" s="501">
        <f t="shared" si="84"/>
        <v>15828</v>
      </c>
      <c r="G434" s="501">
        <f>G422</f>
        <v>226122</v>
      </c>
      <c r="H434" s="501">
        <f>INT(C434*G434)</f>
        <v>15828</v>
      </c>
      <c r="I434" s="501">
        <v>0</v>
      </c>
      <c r="J434" s="501">
        <f>INT(C434*I434)</f>
        <v>0</v>
      </c>
      <c r="K434" s="501">
        <v>0</v>
      </c>
      <c r="L434" s="502">
        <f>INT(C434*K434)</f>
        <v>0</v>
      </c>
    </row>
    <row r="435" spans="1:12" ht="15" customHeight="1">
      <c r="A435" s="151" t="s">
        <v>27</v>
      </c>
      <c r="B435" s="152"/>
      <c r="C435" s="146">
        <v>0.24</v>
      </c>
      <c r="D435" s="320" t="s">
        <v>30</v>
      </c>
      <c r="E435" s="503">
        <f t="shared" si="84"/>
        <v>172068</v>
      </c>
      <c r="F435" s="503">
        <f t="shared" si="84"/>
        <v>41296</v>
      </c>
      <c r="G435" s="503">
        <f>G423</f>
        <v>172068</v>
      </c>
      <c r="H435" s="503">
        <f>INT(C435*G435)</f>
        <v>41296</v>
      </c>
      <c r="I435" s="503">
        <v>0</v>
      </c>
      <c r="J435" s="503">
        <f>INT(C435*I435)</f>
        <v>0</v>
      </c>
      <c r="K435" s="503">
        <f>기초일람!H261</f>
        <v>0</v>
      </c>
      <c r="L435" s="504">
        <f>INT(C435*K435)</f>
        <v>0</v>
      </c>
    </row>
    <row r="436" spans="1:12" ht="15" customHeight="1">
      <c r="A436" s="151" t="s">
        <v>1182</v>
      </c>
      <c r="B436" s="152" t="s">
        <v>1184</v>
      </c>
      <c r="C436" s="505">
        <v>0.02</v>
      </c>
      <c r="D436" s="320" t="s">
        <v>416</v>
      </c>
      <c r="E436" s="503">
        <f t="shared" si="84"/>
        <v>57124</v>
      </c>
      <c r="F436" s="503">
        <f t="shared" si="84"/>
        <v>1142</v>
      </c>
      <c r="G436" s="503">
        <v>0</v>
      </c>
      <c r="H436" s="503">
        <f>INT(C436*G436)</f>
        <v>0</v>
      </c>
      <c r="I436" s="503">
        <v>0</v>
      </c>
      <c r="J436" s="503">
        <f>INT(C436*I436)</f>
        <v>0</v>
      </c>
      <c r="K436" s="503">
        <f>SUM(H434:H435)</f>
        <v>57124</v>
      </c>
      <c r="L436" s="504">
        <f>INT(C436*K436)</f>
        <v>1142</v>
      </c>
    </row>
    <row r="437" spans="1:12" ht="15" customHeight="1">
      <c r="A437" s="151" t="s">
        <v>1183</v>
      </c>
      <c r="B437" s="152" t="s">
        <v>1185</v>
      </c>
      <c r="C437" s="505">
        <v>0.76</v>
      </c>
      <c r="D437" s="320" t="s">
        <v>1186</v>
      </c>
      <c r="E437" s="503">
        <f t="shared" si="84"/>
        <v>80280</v>
      </c>
      <c r="F437" s="503">
        <f t="shared" si="84"/>
        <v>61012</v>
      </c>
      <c r="G437" s="503">
        <f>G425</f>
        <v>57077</v>
      </c>
      <c r="H437" s="503">
        <f>INT(C437*G437)</f>
        <v>43378</v>
      </c>
      <c r="I437" s="503">
        <f>I425</f>
        <v>10637</v>
      </c>
      <c r="J437" s="503">
        <f>INT(C437*I437)</f>
        <v>8084</v>
      </c>
      <c r="K437" s="503">
        <f>K425</f>
        <v>12566</v>
      </c>
      <c r="L437" s="504">
        <f>INT(C437*K437)</f>
        <v>9550</v>
      </c>
    </row>
    <row r="438" spans="1:12" ht="15" customHeight="1">
      <c r="A438" s="154" t="s">
        <v>617</v>
      </c>
      <c r="B438" s="506"/>
      <c r="C438" s="158"/>
      <c r="D438" s="507"/>
      <c r="E438" s="508"/>
      <c r="F438" s="508">
        <f>H438+J438+L438</f>
        <v>119278</v>
      </c>
      <c r="G438" s="508"/>
      <c r="H438" s="508">
        <f>SUM(H434:H437)</f>
        <v>100502</v>
      </c>
      <c r="I438" s="508"/>
      <c r="J438" s="508">
        <f>SUM(J434:J437)</f>
        <v>8084</v>
      </c>
      <c r="K438" s="508"/>
      <c r="L438" s="509">
        <f>SUM(L434:L437)</f>
        <v>10692</v>
      </c>
    </row>
    <row r="439" spans="1:12" ht="15" customHeight="1">
      <c r="A439" s="209"/>
      <c r="B439" s="210"/>
      <c r="C439" s="95"/>
      <c r="D439" s="211"/>
      <c r="E439" s="212">
        <f>E433+1</f>
        <v>73</v>
      </c>
      <c r="F439" s="297" t="s">
        <v>1782</v>
      </c>
      <c r="G439" s="95"/>
      <c r="H439" s="298"/>
      <c r="I439" s="299"/>
      <c r="J439" s="298" t="s">
        <v>1069</v>
      </c>
      <c r="K439" s="299"/>
      <c r="L439" s="300"/>
    </row>
    <row r="440" spans="1:12" ht="15" customHeight="1">
      <c r="A440" s="498" t="s">
        <v>1365</v>
      </c>
      <c r="B440" s="499"/>
      <c r="C440" s="163">
        <v>0.09</v>
      </c>
      <c r="D440" s="500" t="s">
        <v>30</v>
      </c>
      <c r="E440" s="501">
        <f t="shared" ref="E440:F443" si="85">G440+I440+K440</f>
        <v>226122</v>
      </c>
      <c r="F440" s="501">
        <f t="shared" si="85"/>
        <v>20350</v>
      </c>
      <c r="G440" s="501">
        <f>G428</f>
        <v>226122</v>
      </c>
      <c r="H440" s="501">
        <f>INT(C440*G440)</f>
        <v>20350</v>
      </c>
      <c r="I440" s="501">
        <v>0</v>
      </c>
      <c r="J440" s="501">
        <f>INT(C440*I440)</f>
        <v>0</v>
      </c>
      <c r="K440" s="501">
        <v>0</v>
      </c>
      <c r="L440" s="502">
        <f>INT(C440*K440)</f>
        <v>0</v>
      </c>
    </row>
    <row r="441" spans="1:12" ht="15" customHeight="1">
      <c r="A441" s="151" t="s">
        <v>27</v>
      </c>
      <c r="B441" s="152"/>
      <c r="C441" s="147">
        <v>0.3</v>
      </c>
      <c r="D441" s="320" t="s">
        <v>30</v>
      </c>
      <c r="E441" s="503">
        <f t="shared" si="85"/>
        <v>172068</v>
      </c>
      <c r="F441" s="503">
        <f t="shared" si="85"/>
        <v>51620</v>
      </c>
      <c r="G441" s="503">
        <f>G429</f>
        <v>172068</v>
      </c>
      <c r="H441" s="503">
        <f>INT(C441*G441)</f>
        <v>51620</v>
      </c>
      <c r="I441" s="503">
        <v>0</v>
      </c>
      <c r="J441" s="503">
        <f>INT(C441*I441)</f>
        <v>0</v>
      </c>
      <c r="K441" s="503">
        <f>기초일람!H267</f>
        <v>0</v>
      </c>
      <c r="L441" s="504">
        <f>INT(C441*K441)</f>
        <v>0</v>
      </c>
    </row>
    <row r="442" spans="1:12" ht="15" customHeight="1">
      <c r="A442" s="151" t="s">
        <v>1182</v>
      </c>
      <c r="B442" s="152" t="s">
        <v>1184</v>
      </c>
      <c r="C442" s="505">
        <v>0.02</v>
      </c>
      <c r="D442" s="320" t="s">
        <v>416</v>
      </c>
      <c r="E442" s="503">
        <f t="shared" si="85"/>
        <v>71970</v>
      </c>
      <c r="F442" s="503">
        <f t="shared" si="85"/>
        <v>1439</v>
      </c>
      <c r="G442" s="503">
        <v>0</v>
      </c>
      <c r="H442" s="503">
        <f>INT(C442*G442)</f>
        <v>0</v>
      </c>
      <c r="I442" s="503">
        <v>0</v>
      </c>
      <c r="J442" s="503">
        <f>INT(C442*I442)</f>
        <v>0</v>
      </c>
      <c r="K442" s="503">
        <f>SUM(H440:H441)</f>
        <v>71970</v>
      </c>
      <c r="L442" s="504">
        <f>INT(C442*K442)</f>
        <v>1439</v>
      </c>
    </row>
    <row r="443" spans="1:12" ht="15" customHeight="1">
      <c r="A443" s="151" t="s">
        <v>1183</v>
      </c>
      <c r="B443" s="152" t="s">
        <v>1185</v>
      </c>
      <c r="C443" s="505">
        <v>0.96</v>
      </c>
      <c r="D443" s="320" t="s">
        <v>1186</v>
      </c>
      <c r="E443" s="503">
        <f t="shared" si="85"/>
        <v>80280</v>
      </c>
      <c r="F443" s="503">
        <f t="shared" si="85"/>
        <v>77067</v>
      </c>
      <c r="G443" s="503">
        <f>G431</f>
        <v>57077</v>
      </c>
      <c r="H443" s="503">
        <f>INT(C443*G443)</f>
        <v>54793</v>
      </c>
      <c r="I443" s="503">
        <f>I431</f>
        <v>10637</v>
      </c>
      <c r="J443" s="503">
        <f>INT(C443*I443)</f>
        <v>10211</v>
      </c>
      <c r="K443" s="503">
        <f>K431</f>
        <v>12566</v>
      </c>
      <c r="L443" s="504">
        <f>INT(C443*K443)</f>
        <v>12063</v>
      </c>
    </row>
    <row r="444" spans="1:12" ht="15" customHeight="1">
      <c r="A444" s="154" t="s">
        <v>617</v>
      </c>
      <c r="B444" s="506"/>
      <c r="C444" s="158"/>
      <c r="D444" s="507"/>
      <c r="E444" s="508"/>
      <c r="F444" s="508">
        <f>H444+J444+L444</f>
        <v>150476</v>
      </c>
      <c r="G444" s="508"/>
      <c r="H444" s="508">
        <f>SUM(H440:H443)</f>
        <v>126763</v>
      </c>
      <c r="I444" s="508"/>
      <c r="J444" s="508">
        <f>SUM(J440:J443)</f>
        <v>10211</v>
      </c>
      <c r="K444" s="508"/>
      <c r="L444" s="509">
        <f>SUM(L440:L443)</f>
        <v>13502</v>
      </c>
    </row>
    <row r="445" spans="1:12" ht="15" customHeight="1">
      <c r="A445" s="209"/>
      <c r="B445" s="210"/>
      <c r="C445" s="95"/>
      <c r="D445" s="211"/>
      <c r="E445" s="212">
        <f>E439+1</f>
        <v>74</v>
      </c>
      <c r="F445" s="297" t="s">
        <v>2076</v>
      </c>
      <c r="G445" s="95"/>
      <c r="H445" s="298"/>
      <c r="I445" s="299"/>
      <c r="J445" s="298" t="s">
        <v>1069</v>
      </c>
      <c r="K445" s="299"/>
      <c r="L445" s="300"/>
    </row>
    <row r="446" spans="1:12" ht="15" customHeight="1">
      <c r="A446" s="498" t="s">
        <v>1365</v>
      </c>
      <c r="B446" s="499"/>
      <c r="C446" s="163">
        <v>0.13</v>
      </c>
      <c r="D446" s="500" t="s">
        <v>30</v>
      </c>
      <c r="E446" s="501">
        <f t="shared" ref="E446:F449" si="86">G446+I446+K446</f>
        <v>226122</v>
      </c>
      <c r="F446" s="501">
        <f t="shared" si="86"/>
        <v>29395</v>
      </c>
      <c r="G446" s="501">
        <f>G440</f>
        <v>226122</v>
      </c>
      <c r="H446" s="501">
        <f>INT(C446*G446)</f>
        <v>29395</v>
      </c>
      <c r="I446" s="501">
        <v>0</v>
      </c>
      <c r="J446" s="501">
        <f>INT(C446*I446)</f>
        <v>0</v>
      </c>
      <c r="K446" s="501">
        <v>0</v>
      </c>
      <c r="L446" s="502">
        <f>INT(C446*K446)</f>
        <v>0</v>
      </c>
    </row>
    <row r="447" spans="1:12" ht="15" customHeight="1">
      <c r="A447" s="151" t="s">
        <v>27</v>
      </c>
      <c r="B447" s="152"/>
      <c r="C447" s="146">
        <v>0.45</v>
      </c>
      <c r="D447" s="320" t="s">
        <v>30</v>
      </c>
      <c r="E447" s="503">
        <f t="shared" si="86"/>
        <v>172068</v>
      </c>
      <c r="F447" s="503">
        <f t="shared" si="86"/>
        <v>77430</v>
      </c>
      <c r="G447" s="503">
        <f>G441</f>
        <v>172068</v>
      </c>
      <c r="H447" s="503">
        <f>INT(C447*G447)</f>
        <v>77430</v>
      </c>
      <c r="I447" s="503">
        <v>0</v>
      </c>
      <c r="J447" s="503">
        <f>INT(C447*I447)</f>
        <v>0</v>
      </c>
      <c r="K447" s="503">
        <f>기초일람!H273</f>
        <v>0</v>
      </c>
      <c r="L447" s="504">
        <f>INT(C447*K447)</f>
        <v>0</v>
      </c>
    </row>
    <row r="448" spans="1:12" ht="15" customHeight="1">
      <c r="A448" s="151" t="s">
        <v>1182</v>
      </c>
      <c r="B448" s="152" t="s">
        <v>1184</v>
      </c>
      <c r="C448" s="505">
        <v>0.02</v>
      </c>
      <c r="D448" s="320" t="s">
        <v>416</v>
      </c>
      <c r="E448" s="503">
        <f t="shared" si="86"/>
        <v>106825</v>
      </c>
      <c r="F448" s="503">
        <f t="shared" si="86"/>
        <v>2136</v>
      </c>
      <c r="G448" s="503">
        <v>0</v>
      </c>
      <c r="H448" s="503">
        <f>INT(C448*G448)</f>
        <v>0</v>
      </c>
      <c r="I448" s="503">
        <v>0</v>
      </c>
      <c r="J448" s="503">
        <f>INT(C448*I448)</f>
        <v>0</v>
      </c>
      <c r="K448" s="503">
        <f>SUM(H446:H447)</f>
        <v>106825</v>
      </c>
      <c r="L448" s="504">
        <f>INT(C448*K448)</f>
        <v>2136</v>
      </c>
    </row>
    <row r="449" spans="1:12" ht="15" customHeight="1">
      <c r="A449" s="151" t="s">
        <v>1183</v>
      </c>
      <c r="B449" s="152" t="s">
        <v>1185</v>
      </c>
      <c r="C449" s="505">
        <v>1.43</v>
      </c>
      <c r="D449" s="320" t="s">
        <v>1186</v>
      </c>
      <c r="E449" s="503">
        <f t="shared" si="86"/>
        <v>80280</v>
      </c>
      <c r="F449" s="503">
        <f t="shared" si="86"/>
        <v>114799</v>
      </c>
      <c r="G449" s="503">
        <f>G443</f>
        <v>57077</v>
      </c>
      <c r="H449" s="503">
        <f>INT(C449*G449)</f>
        <v>81620</v>
      </c>
      <c r="I449" s="503">
        <f>I443</f>
        <v>10637</v>
      </c>
      <c r="J449" s="503">
        <f>INT(C449*I449)</f>
        <v>15210</v>
      </c>
      <c r="K449" s="503">
        <f>K443</f>
        <v>12566</v>
      </c>
      <c r="L449" s="504">
        <f>INT(C449*K449)</f>
        <v>17969</v>
      </c>
    </row>
    <row r="450" spans="1:12" ht="15" customHeight="1">
      <c r="A450" s="154" t="s">
        <v>617</v>
      </c>
      <c r="B450" s="506"/>
      <c r="C450" s="158"/>
      <c r="D450" s="507"/>
      <c r="E450" s="508"/>
      <c r="F450" s="508">
        <f>H450+J450+L450</f>
        <v>223760</v>
      </c>
      <c r="G450" s="508"/>
      <c r="H450" s="508">
        <f>SUM(H446:H449)</f>
        <v>188445</v>
      </c>
      <c r="I450" s="508"/>
      <c r="J450" s="508">
        <f>SUM(J446:J449)</f>
        <v>15210</v>
      </c>
      <c r="K450" s="508"/>
      <c r="L450" s="509">
        <f>SUM(L446:L449)</f>
        <v>20105</v>
      </c>
    </row>
    <row r="451" spans="1:12" ht="15" customHeight="1">
      <c r="A451" s="209"/>
      <c r="B451" s="210"/>
      <c r="C451" s="95"/>
      <c r="D451" s="211"/>
      <c r="E451" s="212">
        <f>E445+1</f>
        <v>75</v>
      </c>
      <c r="F451" s="297" t="s">
        <v>2186</v>
      </c>
      <c r="G451" s="95"/>
      <c r="H451" s="298"/>
      <c r="I451" s="299"/>
      <c r="J451" s="298" t="s">
        <v>1906</v>
      </c>
      <c r="K451" s="299"/>
      <c r="L451" s="300"/>
    </row>
    <row r="452" spans="1:12" ht="15" customHeight="1">
      <c r="A452" s="498" t="s">
        <v>1907</v>
      </c>
      <c r="B452" s="499"/>
      <c r="C452" s="163">
        <v>0.254</v>
      </c>
      <c r="D452" s="500" t="s">
        <v>1908</v>
      </c>
      <c r="E452" s="501">
        <f t="shared" ref="E452:F455" si="87">G452+I452+K452</f>
        <v>226122</v>
      </c>
      <c r="F452" s="501">
        <f t="shared" si="87"/>
        <v>57434</v>
      </c>
      <c r="G452" s="501">
        <f>G440</f>
        <v>226122</v>
      </c>
      <c r="H452" s="501">
        <f>INT(C452*G452)</f>
        <v>57434</v>
      </c>
      <c r="I452" s="501">
        <v>0</v>
      </c>
      <c r="J452" s="501">
        <f>INT(C452*I452)</f>
        <v>0</v>
      </c>
      <c r="K452" s="501">
        <v>0</v>
      </c>
      <c r="L452" s="502">
        <f>INT(C452*K452)</f>
        <v>0</v>
      </c>
    </row>
    <row r="453" spans="1:12" ht="15" customHeight="1">
      <c r="A453" s="151" t="s">
        <v>1909</v>
      </c>
      <c r="B453" s="152"/>
      <c r="C453" s="146">
        <v>0.17100000000000001</v>
      </c>
      <c r="D453" s="320" t="s">
        <v>1908</v>
      </c>
      <c r="E453" s="503">
        <f t="shared" si="87"/>
        <v>172068</v>
      </c>
      <c r="F453" s="503">
        <f t="shared" si="87"/>
        <v>29423</v>
      </c>
      <c r="G453" s="503">
        <f>G441</f>
        <v>172068</v>
      </c>
      <c r="H453" s="503">
        <f>INT(C453*G453)</f>
        <v>29423</v>
      </c>
      <c r="I453" s="503">
        <v>0</v>
      </c>
      <c r="J453" s="503">
        <f>INT(C453*I453)</f>
        <v>0</v>
      </c>
      <c r="K453" s="503">
        <v>0</v>
      </c>
      <c r="L453" s="504">
        <f>INT(C453*K453)</f>
        <v>0</v>
      </c>
    </row>
    <row r="454" spans="1:12" ht="15" customHeight="1">
      <c r="A454" s="151" t="s">
        <v>1910</v>
      </c>
      <c r="B454" s="152" t="s">
        <v>1911</v>
      </c>
      <c r="C454" s="505">
        <v>0.02</v>
      </c>
      <c r="D454" s="320" t="s">
        <v>1912</v>
      </c>
      <c r="E454" s="503">
        <f t="shared" si="87"/>
        <v>86857</v>
      </c>
      <c r="F454" s="503">
        <f t="shared" si="87"/>
        <v>1737</v>
      </c>
      <c r="G454" s="503">
        <v>0</v>
      </c>
      <c r="H454" s="503">
        <f>INT(C454*G454)</f>
        <v>0</v>
      </c>
      <c r="I454" s="503">
        <v>0</v>
      </c>
      <c r="J454" s="503">
        <f>INT(C454*I454)</f>
        <v>0</v>
      </c>
      <c r="K454" s="503">
        <f>SUM(H452:H453)</f>
        <v>86857</v>
      </c>
      <c r="L454" s="504">
        <f>INT(C454*K454)</f>
        <v>1737</v>
      </c>
    </row>
    <row r="455" spans="1:12" ht="15" customHeight="1">
      <c r="A455" s="151" t="s">
        <v>1913</v>
      </c>
      <c r="B455" s="152" t="s">
        <v>1914</v>
      </c>
      <c r="C455" s="505">
        <v>0.48</v>
      </c>
      <c r="D455" s="320" t="s">
        <v>1915</v>
      </c>
      <c r="E455" s="503">
        <f t="shared" si="87"/>
        <v>80280</v>
      </c>
      <c r="F455" s="503">
        <f t="shared" si="87"/>
        <v>38532</v>
      </c>
      <c r="G455" s="503">
        <f>G443</f>
        <v>57077</v>
      </c>
      <c r="H455" s="503">
        <f>INT(C455*G455)</f>
        <v>27396</v>
      </c>
      <c r="I455" s="503">
        <f>I443</f>
        <v>10637</v>
      </c>
      <c r="J455" s="503">
        <f>INT(C455*I455)</f>
        <v>5105</v>
      </c>
      <c r="K455" s="503">
        <f>K443</f>
        <v>12566</v>
      </c>
      <c r="L455" s="504">
        <f>INT(C455*K455)</f>
        <v>6031</v>
      </c>
    </row>
    <row r="456" spans="1:12" ht="15" customHeight="1">
      <c r="A456" s="154" t="s">
        <v>617</v>
      </c>
      <c r="B456" s="506"/>
      <c r="C456" s="158"/>
      <c r="D456" s="507"/>
      <c r="E456" s="508"/>
      <c r="F456" s="508">
        <f>H456+J456+L456</f>
        <v>127126</v>
      </c>
      <c r="G456" s="508"/>
      <c r="H456" s="508">
        <f>SUM(H452:H455)</f>
        <v>114253</v>
      </c>
      <c r="I456" s="508"/>
      <c r="J456" s="508">
        <f>SUM(J452:J455)</f>
        <v>5105</v>
      </c>
      <c r="K456" s="508"/>
      <c r="L456" s="509">
        <f>SUM(L452:L455)</f>
        <v>7768</v>
      </c>
    </row>
    <row r="457" spans="1:12" ht="15" customHeight="1">
      <c r="A457" s="209"/>
      <c r="B457" s="210"/>
      <c r="C457" s="95"/>
      <c r="D457" s="211"/>
      <c r="E457" s="212">
        <f>E451+1</f>
        <v>76</v>
      </c>
      <c r="F457" s="297" t="s">
        <v>2037</v>
      </c>
      <c r="G457" s="95"/>
      <c r="H457" s="298"/>
      <c r="I457" s="299"/>
      <c r="J457" s="298" t="s">
        <v>1069</v>
      </c>
      <c r="K457" s="299"/>
      <c r="L457" s="300"/>
    </row>
    <row r="458" spans="1:12" ht="15" customHeight="1">
      <c r="A458" s="498" t="s">
        <v>1365</v>
      </c>
      <c r="B458" s="499"/>
      <c r="C458" s="163">
        <v>0.18</v>
      </c>
      <c r="D458" s="500" t="s">
        <v>30</v>
      </c>
      <c r="E458" s="501">
        <f t="shared" ref="E458:F461" si="88">G458+I458+K458</f>
        <v>226122</v>
      </c>
      <c r="F458" s="501">
        <f t="shared" si="88"/>
        <v>40701</v>
      </c>
      <c r="G458" s="501">
        <f>G452</f>
        <v>226122</v>
      </c>
      <c r="H458" s="501">
        <f>INT(C458*G458)</f>
        <v>40701</v>
      </c>
      <c r="I458" s="501">
        <v>0</v>
      </c>
      <c r="J458" s="501">
        <f>INT(C458*I458)</f>
        <v>0</v>
      </c>
      <c r="K458" s="501">
        <v>0</v>
      </c>
      <c r="L458" s="502">
        <f>INT(C458*K458)</f>
        <v>0</v>
      </c>
    </row>
    <row r="459" spans="1:12" ht="15" customHeight="1">
      <c r="A459" s="151" t="s">
        <v>27</v>
      </c>
      <c r="B459" s="152"/>
      <c r="C459" s="147">
        <v>0.6</v>
      </c>
      <c r="D459" s="320" t="s">
        <v>30</v>
      </c>
      <c r="E459" s="503">
        <f t="shared" si="88"/>
        <v>172068</v>
      </c>
      <c r="F459" s="503">
        <f t="shared" si="88"/>
        <v>103240</v>
      </c>
      <c r="G459" s="503">
        <f>G453</f>
        <v>172068</v>
      </c>
      <c r="H459" s="503">
        <f>INT(C459*G459)</f>
        <v>103240</v>
      </c>
      <c r="I459" s="503">
        <v>0</v>
      </c>
      <c r="J459" s="503">
        <f>INT(C459*I459)</f>
        <v>0</v>
      </c>
      <c r="K459" s="503">
        <v>0</v>
      </c>
      <c r="L459" s="504">
        <f>INT(C459*K459)</f>
        <v>0</v>
      </c>
    </row>
    <row r="460" spans="1:12" ht="15" customHeight="1">
      <c r="A460" s="151" t="s">
        <v>1182</v>
      </c>
      <c r="B460" s="152" t="s">
        <v>1184</v>
      </c>
      <c r="C460" s="505">
        <v>0.02</v>
      </c>
      <c r="D460" s="320" t="s">
        <v>416</v>
      </c>
      <c r="E460" s="503">
        <f t="shared" si="88"/>
        <v>143941</v>
      </c>
      <c r="F460" s="503">
        <f t="shared" si="88"/>
        <v>2878</v>
      </c>
      <c r="G460" s="503">
        <v>0</v>
      </c>
      <c r="H460" s="503">
        <f>INT(C460*G460)</f>
        <v>0</v>
      </c>
      <c r="I460" s="503">
        <v>0</v>
      </c>
      <c r="J460" s="503">
        <f>INT(C460*I460)</f>
        <v>0</v>
      </c>
      <c r="K460" s="503">
        <f>SUM(H458:H459)</f>
        <v>143941</v>
      </c>
      <c r="L460" s="504">
        <f>INT(C460*K460)</f>
        <v>2878</v>
      </c>
    </row>
    <row r="461" spans="1:12" ht="15" customHeight="1">
      <c r="A461" s="151" t="s">
        <v>1183</v>
      </c>
      <c r="B461" s="152" t="s">
        <v>1185</v>
      </c>
      <c r="C461" s="746">
        <v>1.9</v>
      </c>
      <c r="D461" s="320" t="s">
        <v>1186</v>
      </c>
      <c r="E461" s="503">
        <f t="shared" si="88"/>
        <v>80280</v>
      </c>
      <c r="F461" s="503">
        <f t="shared" si="88"/>
        <v>152531</v>
      </c>
      <c r="G461" s="503">
        <f>G455</f>
        <v>57077</v>
      </c>
      <c r="H461" s="503">
        <f>INT(C461*G461)</f>
        <v>108446</v>
      </c>
      <c r="I461" s="503">
        <f>I455</f>
        <v>10637</v>
      </c>
      <c r="J461" s="503">
        <f>INT(C461*I461)</f>
        <v>20210</v>
      </c>
      <c r="K461" s="503">
        <f>K455</f>
        <v>12566</v>
      </c>
      <c r="L461" s="504">
        <f>INT(C461*K461)</f>
        <v>23875</v>
      </c>
    </row>
    <row r="462" spans="1:12" ht="15" customHeight="1">
      <c r="A462" s="154" t="s">
        <v>617</v>
      </c>
      <c r="B462" s="506"/>
      <c r="C462" s="158"/>
      <c r="D462" s="507"/>
      <c r="E462" s="508"/>
      <c r="F462" s="508">
        <f>H462+J462+L462</f>
        <v>299350</v>
      </c>
      <c r="G462" s="508"/>
      <c r="H462" s="508">
        <f>SUM(H458:H461)</f>
        <v>252387</v>
      </c>
      <c r="I462" s="508"/>
      <c r="J462" s="508">
        <f>SUM(J458:J461)</f>
        <v>20210</v>
      </c>
      <c r="K462" s="508"/>
      <c r="L462" s="509">
        <f>SUM(L458:L461)</f>
        <v>26753</v>
      </c>
    </row>
    <row r="463" spans="1:12" ht="15" customHeight="1">
      <c r="A463" s="209"/>
      <c r="B463" s="210"/>
      <c r="C463" s="95"/>
      <c r="D463" s="211"/>
      <c r="E463" s="212">
        <f>E457+1</f>
        <v>77</v>
      </c>
      <c r="F463" s="297" t="s">
        <v>2042</v>
      </c>
      <c r="G463" s="95"/>
      <c r="H463" s="298"/>
      <c r="I463" s="299"/>
      <c r="J463" s="298" t="s">
        <v>1069</v>
      </c>
      <c r="K463" s="299"/>
      <c r="L463" s="300"/>
    </row>
    <row r="464" spans="1:12" ht="15" customHeight="1">
      <c r="A464" s="498" t="s">
        <v>1365</v>
      </c>
      <c r="B464" s="499"/>
      <c r="C464" s="163">
        <v>0.13</v>
      </c>
      <c r="D464" s="500" t="s">
        <v>30</v>
      </c>
      <c r="E464" s="501">
        <f t="shared" ref="E464:F467" si="89">G464+I464+K464</f>
        <v>226122</v>
      </c>
      <c r="F464" s="501">
        <f t="shared" si="89"/>
        <v>29395</v>
      </c>
      <c r="G464" s="501">
        <f>G458</f>
        <v>226122</v>
      </c>
      <c r="H464" s="501">
        <f>INT(C464*G464)</f>
        <v>29395</v>
      </c>
      <c r="I464" s="501">
        <v>0</v>
      </c>
      <c r="J464" s="501">
        <f>INT(C464*I464)</f>
        <v>0</v>
      </c>
      <c r="K464" s="501">
        <v>0</v>
      </c>
      <c r="L464" s="502">
        <f>INT(C464*K464)</f>
        <v>0</v>
      </c>
    </row>
    <row r="465" spans="1:12" ht="15" customHeight="1">
      <c r="A465" s="151" t="s">
        <v>27</v>
      </c>
      <c r="B465" s="152"/>
      <c r="C465" s="146">
        <v>0.45</v>
      </c>
      <c r="D465" s="320" t="s">
        <v>30</v>
      </c>
      <c r="E465" s="503">
        <f t="shared" si="89"/>
        <v>172068</v>
      </c>
      <c r="F465" s="503">
        <f t="shared" si="89"/>
        <v>77430</v>
      </c>
      <c r="G465" s="503">
        <f>G459</f>
        <v>172068</v>
      </c>
      <c r="H465" s="503">
        <f>INT(C465*G465)</f>
        <v>77430</v>
      </c>
      <c r="I465" s="503">
        <v>0</v>
      </c>
      <c r="J465" s="503">
        <f>INT(C465*I465)</f>
        <v>0</v>
      </c>
      <c r="K465" s="503">
        <v>0</v>
      </c>
      <c r="L465" s="504">
        <f>INT(C465*K465)</f>
        <v>0</v>
      </c>
    </row>
    <row r="466" spans="1:12" ht="15" customHeight="1">
      <c r="A466" s="151" t="s">
        <v>1182</v>
      </c>
      <c r="B466" s="152" t="s">
        <v>1184</v>
      </c>
      <c r="C466" s="505">
        <v>0.02</v>
      </c>
      <c r="D466" s="320" t="s">
        <v>416</v>
      </c>
      <c r="E466" s="503">
        <f t="shared" si="89"/>
        <v>106825</v>
      </c>
      <c r="F466" s="503">
        <f t="shared" si="89"/>
        <v>2136</v>
      </c>
      <c r="G466" s="503">
        <v>0</v>
      </c>
      <c r="H466" s="503">
        <f>INT(C466*G466)</f>
        <v>0</v>
      </c>
      <c r="I466" s="503">
        <v>0</v>
      </c>
      <c r="J466" s="503">
        <f>INT(C466*I466)</f>
        <v>0</v>
      </c>
      <c r="K466" s="503">
        <f>SUM(H464:H465)</f>
        <v>106825</v>
      </c>
      <c r="L466" s="504">
        <f>INT(C466*K466)</f>
        <v>2136</v>
      </c>
    </row>
    <row r="467" spans="1:12" ht="15" customHeight="1">
      <c r="A467" s="151" t="s">
        <v>1183</v>
      </c>
      <c r="B467" s="152" t="s">
        <v>1185</v>
      </c>
      <c r="C467" s="505">
        <v>1.43</v>
      </c>
      <c r="D467" s="320" t="s">
        <v>1186</v>
      </c>
      <c r="E467" s="503">
        <f t="shared" si="89"/>
        <v>80280</v>
      </c>
      <c r="F467" s="503">
        <f t="shared" si="89"/>
        <v>114799</v>
      </c>
      <c r="G467" s="503">
        <f>G461</f>
        <v>57077</v>
      </c>
      <c r="H467" s="503">
        <f>INT(C467*G467)</f>
        <v>81620</v>
      </c>
      <c r="I467" s="503">
        <f>I461</f>
        <v>10637</v>
      </c>
      <c r="J467" s="503">
        <f>INT(C467*I467)</f>
        <v>15210</v>
      </c>
      <c r="K467" s="503">
        <f>K461</f>
        <v>12566</v>
      </c>
      <c r="L467" s="504">
        <f>INT(C467*K467)</f>
        <v>17969</v>
      </c>
    </row>
    <row r="468" spans="1:12" ht="15" customHeight="1">
      <c r="A468" s="154" t="s">
        <v>617</v>
      </c>
      <c r="B468" s="506"/>
      <c r="C468" s="158"/>
      <c r="D468" s="507"/>
      <c r="E468" s="508"/>
      <c r="F468" s="508">
        <f>H468+J468+L468</f>
        <v>223760</v>
      </c>
      <c r="G468" s="508"/>
      <c r="H468" s="508">
        <f>SUM(H464:H467)</f>
        <v>188445</v>
      </c>
      <c r="I468" s="508"/>
      <c r="J468" s="508">
        <f>SUM(J464:J467)</f>
        <v>15210</v>
      </c>
      <c r="K468" s="508"/>
      <c r="L468" s="509">
        <f>SUM(L464:L467)</f>
        <v>20105</v>
      </c>
    </row>
  </sheetData>
  <customSheetViews>
    <customSheetView guid="{D73D5080-A04E-11D4-B8A5-00609727EAB1}" showPageBreaks="1" showRuler="0" topLeftCell="A570">
      <selection activeCell="E580" sqref="E580"/>
      <pageMargins left="0.65" right="0.51" top="1.05" bottom="0.75" header="0.5" footer="0.5"/>
      <pageSetup paperSize="9" orientation="landscape" horizontalDpi="300" verticalDpi="300" r:id="rId1"/>
      <headerFooter alignWithMargins="0"/>
    </customSheetView>
    <customSheetView guid="{2D877E0D-A04C-11D4-947E-00001C044B2C}" showRuler="0" topLeftCell="C443">
      <selection activeCell="D446" sqref="D446"/>
      <pageMargins left="0.65" right="0.51" top="1.05" bottom="0.75" header="0.5" footer="0.5"/>
      <pageSetup paperSize="9" orientation="landscape" horizontalDpi="300" verticalDpi="300" r:id="rId2"/>
      <headerFooter alignWithMargins="0"/>
    </customSheetView>
    <customSheetView guid="{6F21C780-A002-11D4-A1D9-00104BD549C6}" showRuler="0" topLeftCell="C443">
      <selection activeCell="D446" sqref="D446"/>
      <pageMargins left="0.65" right="0.51" top="1.05" bottom="0.75" header="0.5" footer="0.5"/>
      <pageSetup paperSize="9" orientation="landscape" horizontalDpi="300" verticalDpi="300" r:id="rId3"/>
      <headerFooter alignWithMargins="0"/>
    </customSheetView>
  </customSheetViews>
  <mergeCells count="3">
    <mergeCell ref="A2:A3"/>
    <mergeCell ref="C2:C3"/>
    <mergeCell ref="D2:D3"/>
  </mergeCells>
  <phoneticPr fontId="3" type="noConversion"/>
  <printOptions horizontalCentered="1"/>
  <pageMargins left="0.39370078740157483" right="0.39370078740157483" top="0.78740157480314965" bottom="0.56999999999999995" header="0.39370078740157483" footer="0.39370078740157483"/>
  <pageSetup paperSize="9" orientation="landscape" r:id="rId4"/>
  <headerFooter alignWithMargins="0"/>
  <drawing r:id="rId5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8"/>
  <dimension ref="A1:K17"/>
  <sheetViews>
    <sheetView workbookViewId="0">
      <selection activeCell="L9" sqref="L9"/>
    </sheetView>
  </sheetViews>
  <sheetFormatPr defaultColWidth="8.88671875" defaultRowHeight="20.100000000000001" customHeight="1"/>
  <cols>
    <col min="1" max="1" width="21.44140625" style="29" customWidth="1"/>
    <col min="2" max="2" width="24.21875" style="29" customWidth="1"/>
    <col min="3" max="5" width="9" style="29" bestFit="1" customWidth="1"/>
    <col min="6" max="6" width="8.21875" style="227" customWidth="1"/>
    <col min="7" max="7" width="4.33203125" style="228" customWidth="1"/>
    <col min="8" max="11" width="7.77734375" style="29" customWidth="1"/>
    <col min="12" max="16384" width="8.88671875" style="29"/>
  </cols>
  <sheetData>
    <row r="1" spans="1:11" ht="20.100000000000001" customHeight="1">
      <c r="A1" s="223" t="s">
        <v>195</v>
      </c>
      <c r="B1" s="224"/>
      <c r="C1" s="224"/>
      <c r="D1" s="224"/>
      <c r="E1" s="224"/>
      <c r="F1" s="225"/>
      <c r="G1" s="226"/>
      <c r="H1" s="224"/>
      <c r="I1" s="224"/>
      <c r="J1" s="224"/>
      <c r="K1" s="224"/>
    </row>
    <row r="2" spans="1:11" ht="20.100000000000001" customHeight="1">
      <c r="A2" s="1104" t="s">
        <v>2092</v>
      </c>
      <c r="B2" s="1104" t="s">
        <v>690</v>
      </c>
      <c r="C2" s="603" t="s">
        <v>157</v>
      </c>
      <c r="D2" s="603"/>
      <c r="E2" s="603"/>
      <c r="F2" s="605" t="s">
        <v>200</v>
      </c>
      <c r="G2" s="606"/>
      <c r="H2" s="603" t="s">
        <v>686</v>
      </c>
      <c r="I2" s="603"/>
      <c r="J2" s="603"/>
      <c r="K2" s="603"/>
    </row>
    <row r="3" spans="1:11" ht="20.100000000000001" customHeight="1">
      <c r="A3" s="1104"/>
      <c r="B3" s="1104"/>
      <c r="C3" s="604" t="s">
        <v>1007</v>
      </c>
      <c r="D3" s="604" t="s">
        <v>1169</v>
      </c>
      <c r="E3" s="604" t="s">
        <v>689</v>
      </c>
      <c r="F3" s="607" t="s">
        <v>642</v>
      </c>
      <c r="G3" s="608" t="s">
        <v>1011</v>
      </c>
      <c r="H3" s="604" t="s">
        <v>1007</v>
      </c>
      <c r="I3" s="604" t="s">
        <v>1169</v>
      </c>
      <c r="J3" s="604" t="s">
        <v>689</v>
      </c>
      <c r="K3" s="604" t="s">
        <v>617</v>
      </c>
    </row>
    <row r="4" spans="1:11" ht="20.100000000000001" customHeight="1">
      <c r="A4" s="27" t="s">
        <v>196</v>
      </c>
      <c r="B4" s="27" t="s">
        <v>118</v>
      </c>
      <c r="C4" s="30">
        <f>중기일람!D8</f>
        <v>57077</v>
      </c>
      <c r="D4" s="30">
        <f>중기일람!E8</f>
        <v>21629</v>
      </c>
      <c r="E4" s="30">
        <f>중기일람!F8</f>
        <v>21332</v>
      </c>
      <c r="F4" s="230">
        <f>기초작업량!F5</f>
        <v>20.56</v>
      </c>
      <c r="G4" s="229" t="s">
        <v>1014</v>
      </c>
      <c r="H4" s="30">
        <f>INT(C4/F4)</f>
        <v>2776</v>
      </c>
      <c r="I4" s="30">
        <f>INT(D4/F4)</f>
        <v>1051</v>
      </c>
      <c r="J4" s="30">
        <f>INT(E4/F4)</f>
        <v>1037</v>
      </c>
      <c r="K4" s="30">
        <f>SUM(H4:J4)</f>
        <v>4864</v>
      </c>
    </row>
    <row r="5" spans="1:11" ht="20.100000000000001" customHeight="1">
      <c r="A5" s="27" t="s">
        <v>158</v>
      </c>
      <c r="B5" s="27" t="s">
        <v>118</v>
      </c>
      <c r="C5" s="30">
        <f>중기일람!D7</f>
        <v>57077</v>
      </c>
      <c r="D5" s="30">
        <f>중기일람!E7</f>
        <v>21629</v>
      </c>
      <c r="E5" s="30">
        <f>중기일람!F7</f>
        <v>21332</v>
      </c>
      <c r="F5" s="230">
        <f>기초작업량!F10</f>
        <v>79.2</v>
      </c>
      <c r="G5" s="229" t="s">
        <v>1014</v>
      </c>
      <c r="H5" s="30">
        <f>INT(C5/F5)</f>
        <v>720</v>
      </c>
      <c r="I5" s="30">
        <f t="shared" ref="I5:I17" si="0">INT(D5/F5)</f>
        <v>273</v>
      </c>
      <c r="J5" s="30">
        <f t="shared" ref="J5:J17" si="1">INT(E5/F5)</f>
        <v>269</v>
      </c>
      <c r="K5" s="30">
        <f t="shared" ref="K5:K17" si="2">SUM(H5:J5)</f>
        <v>1262</v>
      </c>
    </row>
    <row r="6" spans="1:11" ht="20.100000000000001" customHeight="1">
      <c r="A6" s="27" t="s">
        <v>159</v>
      </c>
      <c r="B6" s="27" t="s">
        <v>118</v>
      </c>
      <c r="C6" s="30">
        <f>중기일람!D7</f>
        <v>57077</v>
      </c>
      <c r="D6" s="30">
        <f>중기일람!E7</f>
        <v>21629</v>
      </c>
      <c r="E6" s="30">
        <f>중기일람!F7</f>
        <v>21332</v>
      </c>
      <c r="F6" s="230">
        <f>기초작업량!F15</f>
        <v>79.2</v>
      </c>
      <c r="G6" s="229" t="s">
        <v>1014</v>
      </c>
      <c r="H6" s="30">
        <f>INT(C6/F6)</f>
        <v>720</v>
      </c>
      <c r="I6" s="30">
        <f t="shared" si="0"/>
        <v>273</v>
      </c>
      <c r="J6" s="30">
        <f t="shared" si="1"/>
        <v>269</v>
      </c>
      <c r="K6" s="30">
        <f t="shared" si="2"/>
        <v>1262</v>
      </c>
    </row>
    <row r="7" spans="1:11" ht="20.100000000000001" customHeight="1">
      <c r="A7" s="27" t="s">
        <v>1122</v>
      </c>
      <c r="B7" s="27" t="s">
        <v>1123</v>
      </c>
      <c r="C7" s="30">
        <f>중기일람!D4</f>
        <v>57077</v>
      </c>
      <c r="D7" s="30">
        <f>중기일람!E4</f>
        <v>25884</v>
      </c>
      <c r="E7" s="30">
        <f>중기일람!F4+중기일람!F20</f>
        <v>27562</v>
      </c>
      <c r="F7" s="230">
        <f>기초작업량!F21</f>
        <v>279</v>
      </c>
      <c r="G7" s="229" t="s">
        <v>1014</v>
      </c>
      <c r="H7" s="30">
        <f>INT(C7/F7)</f>
        <v>204</v>
      </c>
      <c r="I7" s="30">
        <f t="shared" si="0"/>
        <v>92</v>
      </c>
      <c r="J7" s="30">
        <f t="shared" si="1"/>
        <v>98</v>
      </c>
      <c r="K7" s="30">
        <f t="shared" si="2"/>
        <v>394</v>
      </c>
    </row>
    <row r="8" spans="1:11" ht="20.100000000000001" customHeight="1">
      <c r="A8" s="27" t="s">
        <v>1124</v>
      </c>
      <c r="B8" s="27" t="s">
        <v>1125</v>
      </c>
      <c r="C8" s="30">
        <f>중기일람!D21</f>
        <v>57077</v>
      </c>
      <c r="D8" s="30">
        <f>중기일람!E21</f>
        <v>49054</v>
      </c>
      <c r="E8" s="30">
        <f>중기일람!F21</f>
        <v>34201</v>
      </c>
      <c r="F8" s="230">
        <f>기초작업량!F27</f>
        <v>162</v>
      </c>
      <c r="G8" s="229" t="s">
        <v>1014</v>
      </c>
      <c r="H8" s="30">
        <f t="shared" ref="H8:H17" si="3">INT(C8/F8)</f>
        <v>352</v>
      </c>
      <c r="I8" s="30">
        <f t="shared" si="0"/>
        <v>302</v>
      </c>
      <c r="J8" s="30">
        <f t="shared" si="1"/>
        <v>211</v>
      </c>
      <c r="K8" s="30">
        <f t="shared" si="2"/>
        <v>865</v>
      </c>
    </row>
    <row r="9" spans="1:11" ht="20.100000000000001" customHeight="1">
      <c r="A9" s="27" t="s">
        <v>1126</v>
      </c>
      <c r="B9" s="27" t="s">
        <v>1125</v>
      </c>
      <c r="C9" s="30">
        <f>중기일람!D21</f>
        <v>57077</v>
      </c>
      <c r="D9" s="30">
        <f>중기일람!E21</f>
        <v>49054</v>
      </c>
      <c r="E9" s="30">
        <f>중기일람!F21</f>
        <v>34201</v>
      </c>
      <c r="F9" s="230">
        <f>기초작업량!F34</f>
        <v>86.4</v>
      </c>
      <c r="G9" s="229" t="s">
        <v>1014</v>
      </c>
      <c r="H9" s="30">
        <f t="shared" si="3"/>
        <v>660</v>
      </c>
      <c r="I9" s="30">
        <f t="shared" si="0"/>
        <v>567</v>
      </c>
      <c r="J9" s="30">
        <f t="shared" si="1"/>
        <v>395</v>
      </c>
      <c r="K9" s="30">
        <f t="shared" si="2"/>
        <v>1622</v>
      </c>
    </row>
    <row r="10" spans="1:11" ht="20.100000000000001" customHeight="1">
      <c r="A10" s="27" t="s">
        <v>66</v>
      </c>
      <c r="B10" s="27" t="s">
        <v>1127</v>
      </c>
      <c r="C10" s="30">
        <f>중기일람!D22</f>
        <v>35608</v>
      </c>
      <c r="D10" s="30">
        <f>중기일람!E22</f>
        <v>2034</v>
      </c>
      <c r="E10" s="30">
        <f>중기일람!F22</f>
        <v>529</v>
      </c>
      <c r="F10" s="230">
        <f>기초작업량!F40</f>
        <v>9</v>
      </c>
      <c r="G10" s="229" t="s">
        <v>1014</v>
      </c>
      <c r="H10" s="30">
        <f t="shared" si="3"/>
        <v>3956</v>
      </c>
      <c r="I10" s="30">
        <f t="shared" si="0"/>
        <v>226</v>
      </c>
      <c r="J10" s="30">
        <f t="shared" si="1"/>
        <v>58</v>
      </c>
      <c r="K10" s="30">
        <f t="shared" si="2"/>
        <v>4240</v>
      </c>
    </row>
    <row r="11" spans="1:11" ht="20.100000000000001" customHeight="1">
      <c r="A11" s="27" t="s">
        <v>1241</v>
      </c>
      <c r="B11" s="27" t="s">
        <v>118</v>
      </c>
      <c r="C11" s="30">
        <f>중기일람!D8</f>
        <v>57077</v>
      </c>
      <c r="D11" s="30">
        <f>중기일람!E8</f>
        <v>21629</v>
      </c>
      <c r="E11" s="30">
        <f>중기일람!F8</f>
        <v>21332</v>
      </c>
      <c r="F11" s="230">
        <f>기초작업량!F45</f>
        <v>22.72</v>
      </c>
      <c r="G11" s="229" t="s">
        <v>1014</v>
      </c>
      <c r="H11" s="30">
        <f t="shared" si="3"/>
        <v>2512</v>
      </c>
      <c r="I11" s="30">
        <f t="shared" si="0"/>
        <v>951</v>
      </c>
      <c r="J11" s="30">
        <f t="shared" si="1"/>
        <v>938</v>
      </c>
      <c r="K11" s="30">
        <f t="shared" si="2"/>
        <v>4401</v>
      </c>
    </row>
    <row r="12" spans="1:11" s="10" customFormat="1" ht="20.100000000000001" customHeight="1">
      <c r="A12" s="231" t="s">
        <v>1128</v>
      </c>
      <c r="B12" s="27" t="s">
        <v>522</v>
      </c>
      <c r="C12" s="30">
        <v>0</v>
      </c>
      <c r="D12" s="30">
        <f>중기내역!F663</f>
        <v>1864</v>
      </c>
      <c r="E12" s="30">
        <f>중기내역!F665</f>
        <v>118</v>
      </c>
      <c r="F12" s="232">
        <f>기초작업량!F65</f>
        <v>4</v>
      </c>
      <c r="G12" s="1" t="s">
        <v>1014</v>
      </c>
      <c r="H12" s="30">
        <f t="shared" si="3"/>
        <v>0</v>
      </c>
      <c r="I12" s="30">
        <f t="shared" si="0"/>
        <v>466</v>
      </c>
      <c r="J12" s="30">
        <f t="shared" si="1"/>
        <v>29</v>
      </c>
      <c r="K12" s="30">
        <f t="shared" si="2"/>
        <v>495</v>
      </c>
    </row>
    <row r="13" spans="1:11" s="10" customFormat="1" ht="20.100000000000001" customHeight="1">
      <c r="A13" s="231" t="s">
        <v>1128</v>
      </c>
      <c r="B13" s="27" t="s">
        <v>521</v>
      </c>
      <c r="C13" s="30">
        <v>0</v>
      </c>
      <c r="D13" s="30">
        <f>중기내역!F668</f>
        <v>0</v>
      </c>
      <c r="E13" s="30">
        <f>중기내역!F667</f>
        <v>82</v>
      </c>
      <c r="F13" s="232">
        <f>기초작업량!F65</f>
        <v>4</v>
      </c>
      <c r="G13" s="1" t="s">
        <v>1014</v>
      </c>
      <c r="H13" s="30">
        <f t="shared" si="3"/>
        <v>0</v>
      </c>
      <c r="I13" s="30">
        <f t="shared" si="0"/>
        <v>0</v>
      </c>
      <c r="J13" s="30">
        <f t="shared" si="1"/>
        <v>20</v>
      </c>
      <c r="K13" s="30">
        <f t="shared" si="2"/>
        <v>20</v>
      </c>
    </row>
    <row r="14" spans="1:11" s="10" customFormat="1" ht="20.100000000000001" customHeight="1">
      <c r="A14" s="231" t="s">
        <v>1129</v>
      </c>
      <c r="B14" s="27" t="s">
        <v>522</v>
      </c>
      <c r="C14" s="30">
        <v>0</v>
      </c>
      <c r="D14" s="30">
        <f>중기내역!F663</f>
        <v>1864</v>
      </c>
      <c r="E14" s="30">
        <f>중기내역!F665</f>
        <v>118</v>
      </c>
      <c r="F14" s="232">
        <f>기초작업량!F70</f>
        <v>8</v>
      </c>
      <c r="G14" s="1" t="s">
        <v>1014</v>
      </c>
      <c r="H14" s="30">
        <f t="shared" si="3"/>
        <v>0</v>
      </c>
      <c r="I14" s="30">
        <f t="shared" si="0"/>
        <v>233</v>
      </c>
      <c r="J14" s="30">
        <f t="shared" si="1"/>
        <v>14</v>
      </c>
      <c r="K14" s="30">
        <f t="shared" si="2"/>
        <v>247</v>
      </c>
    </row>
    <row r="15" spans="1:11" s="10" customFormat="1" ht="20.100000000000001" customHeight="1">
      <c r="A15" s="231" t="s">
        <v>1129</v>
      </c>
      <c r="B15" s="27" t="s">
        <v>521</v>
      </c>
      <c r="C15" s="30">
        <v>0</v>
      </c>
      <c r="D15" s="30">
        <v>0</v>
      </c>
      <c r="E15" s="30">
        <f>중기내역!F667</f>
        <v>82</v>
      </c>
      <c r="F15" s="232">
        <f>기초작업량!F70</f>
        <v>8</v>
      </c>
      <c r="G15" s="1" t="s">
        <v>1014</v>
      </c>
      <c r="H15" s="30">
        <f t="shared" si="3"/>
        <v>0</v>
      </c>
      <c r="I15" s="30">
        <f t="shared" si="0"/>
        <v>0</v>
      </c>
      <c r="J15" s="30">
        <f t="shared" si="1"/>
        <v>10</v>
      </c>
      <c r="K15" s="30">
        <f t="shared" si="2"/>
        <v>10</v>
      </c>
    </row>
    <row r="16" spans="1:11" ht="20.100000000000001" customHeight="1">
      <c r="A16" s="27" t="s">
        <v>1130</v>
      </c>
      <c r="B16" s="27" t="s">
        <v>1131</v>
      </c>
      <c r="C16" s="30">
        <f>중기일람!D31</f>
        <v>49479</v>
      </c>
      <c r="D16" s="30">
        <f>중기일람!E31</f>
        <v>18478</v>
      </c>
      <c r="E16" s="30">
        <f>중기일람!F31</f>
        <v>8821</v>
      </c>
      <c r="F16" s="230">
        <f>기초작업량!F75</f>
        <v>7</v>
      </c>
      <c r="G16" s="229" t="s">
        <v>1013</v>
      </c>
      <c r="H16" s="30">
        <f t="shared" si="3"/>
        <v>7068</v>
      </c>
      <c r="I16" s="30">
        <f t="shared" si="0"/>
        <v>2639</v>
      </c>
      <c r="J16" s="30">
        <f t="shared" si="1"/>
        <v>1260</v>
      </c>
      <c r="K16" s="30">
        <f t="shared" si="2"/>
        <v>10967</v>
      </c>
    </row>
    <row r="17" spans="1:11" ht="20.100000000000001" customHeight="1">
      <c r="A17" s="27" t="s">
        <v>2694</v>
      </c>
      <c r="B17" s="27" t="s">
        <v>2695</v>
      </c>
      <c r="C17" s="30">
        <f>중기일람!D9</f>
        <v>57077</v>
      </c>
      <c r="D17" s="30">
        <f>중기일람!E9</f>
        <v>9246</v>
      </c>
      <c r="E17" s="30">
        <f>중기일람!F9</f>
        <v>12510</v>
      </c>
      <c r="F17" s="230">
        <f>[10]기초작업량!F82</f>
        <v>15.68</v>
      </c>
      <c r="G17" s="229" t="s">
        <v>1013</v>
      </c>
      <c r="H17" s="30">
        <f t="shared" si="3"/>
        <v>3640</v>
      </c>
      <c r="I17" s="30">
        <f t="shared" si="0"/>
        <v>589</v>
      </c>
      <c r="J17" s="30">
        <f t="shared" si="1"/>
        <v>797</v>
      </c>
      <c r="K17" s="30">
        <f t="shared" si="2"/>
        <v>5026</v>
      </c>
    </row>
  </sheetData>
  <customSheetViews>
    <customSheetView guid="{D73D5080-A04E-11D4-B8A5-00609727EAB1}" showRuler="0" topLeftCell="A20">
      <selection activeCell="F20" sqref="F20"/>
      <pageMargins left="0.75" right="0.75" top="1.03" bottom="1" header="0.5" footer="0.5"/>
      <pageSetup paperSize="9" orientation="landscape" horizontalDpi="300" verticalDpi="300" r:id="rId1"/>
      <headerFooter alignWithMargins="0"/>
    </customSheetView>
    <customSheetView guid="{2D877E0D-A04C-11D4-947E-00001C044B2C}" showRuler="0" topLeftCell="A13">
      <selection activeCell="A21" sqref="A21"/>
      <pageMargins left="0.75" right="0.75" top="1.03" bottom="1" header="0.5" footer="0.5"/>
      <pageSetup paperSize="9" orientation="landscape" horizontalDpi="300" verticalDpi="300" r:id="rId2"/>
      <headerFooter alignWithMargins="0"/>
    </customSheetView>
    <customSheetView guid="{6F21C780-A002-11D4-A1D9-00104BD549C6}" showRuler="0" topLeftCell="A13">
      <selection activeCell="A21" sqref="A21"/>
      <pageMargins left="0.75" right="0.75" top="1.03" bottom="1" header="0.5" footer="0.5"/>
      <pageSetup paperSize="9" orientation="landscape" horizontalDpi="300" verticalDpi="300" r:id="rId3"/>
      <headerFooter alignWithMargins="0"/>
    </customSheetView>
  </customSheetViews>
  <mergeCells count="2">
    <mergeCell ref="A2:A3"/>
    <mergeCell ref="B2:B3"/>
  </mergeCells>
  <phoneticPr fontId="3" type="noConversion"/>
  <printOptions horizontalCentered="1"/>
  <pageMargins left="0.39370078740157483" right="0.39370078740157483" top="0.78740157480314965" bottom="0.59055118110236227" header="0.39370078740157483" footer="0.39370078740157483"/>
  <pageSetup paperSize="9" orientation="landscape" r:id="rId4"/>
  <headerFooter alignWithMargins="0"/>
  <drawing r:id="rId5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7"/>
  <dimension ref="A1:L77"/>
  <sheetViews>
    <sheetView workbookViewId="0">
      <selection activeCell="C8" sqref="C8"/>
    </sheetView>
  </sheetViews>
  <sheetFormatPr defaultColWidth="8.88671875" defaultRowHeight="15" customHeight="1"/>
  <cols>
    <col min="1" max="1" width="4.44140625" style="10" customWidth="1"/>
    <col min="2" max="11" width="8.88671875" style="10"/>
    <col min="12" max="12" width="17.6640625" style="10" customWidth="1"/>
    <col min="13" max="16384" width="8.88671875" style="10"/>
  </cols>
  <sheetData>
    <row r="1" spans="1:12" s="5" customFormat="1" ht="20.100000000000001" customHeight="1">
      <c r="A1" s="4" t="s">
        <v>1257</v>
      </c>
      <c r="C1" s="6"/>
      <c r="D1" s="6"/>
      <c r="E1" s="6"/>
      <c r="F1" s="6"/>
      <c r="G1" s="6"/>
      <c r="H1" s="6"/>
      <c r="I1" s="6"/>
      <c r="J1" s="6"/>
      <c r="K1" s="6"/>
    </row>
    <row r="2" spans="1:12" ht="13.5" customHeight="1">
      <c r="A2" s="7"/>
      <c r="B2" s="8" t="s">
        <v>1346</v>
      </c>
      <c r="C2" s="8"/>
      <c r="D2" s="8"/>
      <c r="E2" s="8" t="s">
        <v>752</v>
      </c>
      <c r="F2" s="8"/>
      <c r="G2" s="8"/>
      <c r="H2" s="8"/>
      <c r="I2" s="8"/>
      <c r="J2" s="8"/>
      <c r="K2" s="8"/>
      <c r="L2" s="9"/>
    </row>
    <row r="3" spans="1:12" ht="13.5" customHeight="1">
      <c r="A3" s="11"/>
      <c r="C3" s="12" t="s">
        <v>897</v>
      </c>
      <c r="D3" s="13">
        <v>0.7</v>
      </c>
      <c r="E3" s="12" t="s">
        <v>753</v>
      </c>
      <c r="F3" s="14">
        <v>0.55000000000000004</v>
      </c>
      <c r="G3" s="1017" t="s">
        <v>205</v>
      </c>
      <c r="H3" s="1017"/>
      <c r="I3" s="14">
        <f>ROUND((1/1.12),2)</f>
        <v>0.89</v>
      </c>
      <c r="J3" s="12" t="s">
        <v>674</v>
      </c>
      <c r="K3" s="14">
        <v>0.35</v>
      </c>
      <c r="L3" s="15"/>
    </row>
    <row r="4" spans="1:12" ht="13.5" customHeight="1">
      <c r="A4" s="11"/>
      <c r="C4" s="12" t="s">
        <v>486</v>
      </c>
      <c r="D4" s="10">
        <v>21</v>
      </c>
      <c r="E4" s="10" t="s">
        <v>754</v>
      </c>
      <c r="L4" s="15"/>
    </row>
    <row r="5" spans="1:12" ht="13.5" customHeight="1">
      <c r="A5" s="11"/>
      <c r="C5" s="10" t="s">
        <v>755</v>
      </c>
      <c r="F5" s="10">
        <f>ROUND((3600*D3*F3*I3*K3/D4)/10*10,2)</f>
        <v>20.56</v>
      </c>
      <c r="G5" s="10" t="s">
        <v>756</v>
      </c>
      <c r="L5" s="15"/>
    </row>
    <row r="6" spans="1:12" ht="13.5" customHeight="1">
      <c r="A6" s="11"/>
      <c r="L6" s="15"/>
    </row>
    <row r="7" spans="1:12" ht="13.5" customHeight="1">
      <c r="A7" s="11"/>
      <c r="B7" s="10" t="s">
        <v>1347</v>
      </c>
      <c r="E7" s="10" t="s">
        <v>752</v>
      </c>
      <c r="L7" s="15"/>
    </row>
    <row r="8" spans="1:12" ht="13.5" customHeight="1">
      <c r="A8" s="11"/>
      <c r="C8" s="12" t="s">
        <v>897</v>
      </c>
      <c r="D8" s="13">
        <v>0.7</v>
      </c>
      <c r="E8" s="12" t="s">
        <v>753</v>
      </c>
      <c r="F8" s="14">
        <v>1.1000000000000001</v>
      </c>
      <c r="G8" s="1017" t="s">
        <v>2307</v>
      </c>
      <c r="H8" s="1017"/>
      <c r="I8" s="14">
        <f>ROUND((1/1.25),2)</f>
        <v>0.8</v>
      </c>
      <c r="J8" s="12" t="s">
        <v>674</v>
      </c>
      <c r="K8" s="14">
        <v>0.75</v>
      </c>
      <c r="L8" s="15"/>
    </row>
    <row r="9" spans="1:12" ht="13.5" customHeight="1">
      <c r="A9" s="11"/>
      <c r="C9" s="12" t="s">
        <v>486</v>
      </c>
      <c r="D9" s="10">
        <v>21</v>
      </c>
      <c r="E9" s="10" t="s">
        <v>754</v>
      </c>
      <c r="L9" s="15"/>
    </row>
    <row r="10" spans="1:12" ht="13.5" customHeight="1">
      <c r="A10" s="11"/>
      <c r="C10" s="10" t="s">
        <v>755</v>
      </c>
      <c r="F10" s="10">
        <f>ROUND((3600*D8*F8*I8*K8/D9)/10*10,2)</f>
        <v>79.2</v>
      </c>
      <c r="G10" s="10" t="s">
        <v>756</v>
      </c>
      <c r="L10" s="15"/>
    </row>
    <row r="11" spans="1:12" ht="13.5" customHeight="1">
      <c r="A11" s="11"/>
      <c r="L11" s="15"/>
    </row>
    <row r="12" spans="1:12" ht="13.5" customHeight="1">
      <c r="A12" s="11"/>
      <c r="B12" s="10" t="s">
        <v>1348</v>
      </c>
      <c r="E12" s="10" t="s">
        <v>752</v>
      </c>
      <c r="L12" s="15"/>
    </row>
    <row r="13" spans="1:12" ht="13.5" customHeight="1">
      <c r="A13" s="11"/>
      <c r="C13" s="12" t="s">
        <v>897</v>
      </c>
      <c r="D13" s="13">
        <v>0.7</v>
      </c>
      <c r="E13" s="12" t="s">
        <v>753</v>
      </c>
      <c r="F13" s="14">
        <v>1.1000000000000001</v>
      </c>
      <c r="G13" s="1017" t="s">
        <v>206</v>
      </c>
      <c r="H13" s="1017"/>
      <c r="I13" s="14">
        <f>ROUND((1/1.25),2)</f>
        <v>0.8</v>
      </c>
      <c r="J13" s="12" t="s">
        <v>674</v>
      </c>
      <c r="K13" s="14">
        <v>0.75</v>
      </c>
      <c r="L13" s="15"/>
    </row>
    <row r="14" spans="1:12" ht="13.5" customHeight="1">
      <c r="A14" s="11"/>
      <c r="C14" s="12" t="s">
        <v>486</v>
      </c>
      <c r="D14" s="10">
        <v>21</v>
      </c>
      <c r="E14" s="10" t="s">
        <v>754</v>
      </c>
      <c r="L14" s="15"/>
    </row>
    <row r="15" spans="1:12" ht="13.5" customHeight="1">
      <c r="A15" s="11"/>
      <c r="C15" s="10" t="s">
        <v>755</v>
      </c>
      <c r="F15" s="16">
        <f>ROUND((3600*D13*F13*I13*K13/D14)/10*10,2)</f>
        <v>79.2</v>
      </c>
      <c r="G15" s="10" t="s">
        <v>756</v>
      </c>
      <c r="L15" s="15"/>
    </row>
    <row r="16" spans="1:12" ht="13.5" customHeight="1">
      <c r="A16" s="11"/>
      <c r="L16" s="15"/>
    </row>
    <row r="17" spans="1:12" ht="13.5" customHeight="1">
      <c r="A17" s="11"/>
      <c r="B17" s="10" t="s">
        <v>1349</v>
      </c>
      <c r="L17" s="15"/>
    </row>
    <row r="18" spans="1:12" ht="13.5" customHeight="1">
      <c r="A18" s="11"/>
      <c r="C18" s="10" t="s">
        <v>1350</v>
      </c>
      <c r="E18" s="10" t="s">
        <v>1326</v>
      </c>
      <c r="L18" s="15"/>
    </row>
    <row r="19" spans="1:12" ht="13.5" customHeight="1">
      <c r="A19" s="11"/>
      <c r="C19" s="1017" t="s">
        <v>757</v>
      </c>
      <c r="D19" s="1017"/>
      <c r="E19" s="13">
        <v>4</v>
      </c>
      <c r="F19" s="1017" t="s">
        <v>758</v>
      </c>
      <c r="G19" s="1017"/>
      <c r="H19" s="14">
        <v>3.1</v>
      </c>
      <c r="I19" s="1017" t="s">
        <v>759</v>
      </c>
      <c r="J19" s="1017"/>
      <c r="K19" s="17">
        <v>0.3</v>
      </c>
      <c r="L19" s="15"/>
    </row>
    <row r="20" spans="1:12" ht="13.5" customHeight="1">
      <c r="A20" s="11"/>
      <c r="C20" s="1017" t="s">
        <v>760</v>
      </c>
      <c r="D20" s="1017"/>
      <c r="E20" s="17">
        <v>0.6</v>
      </c>
      <c r="F20" s="1017" t="s">
        <v>761</v>
      </c>
      <c r="G20" s="1017"/>
      <c r="H20" s="17">
        <v>1</v>
      </c>
      <c r="I20" s="1017" t="s">
        <v>762</v>
      </c>
      <c r="J20" s="1017"/>
      <c r="K20" s="17">
        <v>8</v>
      </c>
      <c r="L20" s="15"/>
    </row>
    <row r="21" spans="1:12" ht="13.5" customHeight="1">
      <c r="A21" s="11"/>
      <c r="C21" s="10" t="s">
        <v>763</v>
      </c>
      <c r="F21" s="18">
        <f>ROUND((1000*E19*H19*K19*E20*H20/K20)/10*10,2)</f>
        <v>279</v>
      </c>
      <c r="G21" s="10" t="s">
        <v>154</v>
      </c>
      <c r="L21" s="15"/>
    </row>
    <row r="22" spans="1:12" ht="13.5" customHeight="1">
      <c r="A22" s="11"/>
      <c r="F22" s="18"/>
      <c r="L22" s="15"/>
    </row>
    <row r="23" spans="1:12" ht="13.5" customHeight="1">
      <c r="A23" s="11"/>
      <c r="B23" s="10" t="s">
        <v>1351</v>
      </c>
      <c r="L23" s="15"/>
    </row>
    <row r="24" spans="1:12" ht="13.5" customHeight="1">
      <c r="A24" s="11"/>
      <c r="C24" s="10" t="s">
        <v>1350</v>
      </c>
      <c r="E24" s="10" t="s">
        <v>1327</v>
      </c>
      <c r="L24" s="15"/>
    </row>
    <row r="25" spans="1:12" ht="13.5" customHeight="1">
      <c r="A25" s="11"/>
      <c r="C25" s="1017" t="s">
        <v>757</v>
      </c>
      <c r="D25" s="1017"/>
      <c r="E25" s="13">
        <v>4</v>
      </c>
      <c r="F25" s="1017" t="s">
        <v>758</v>
      </c>
      <c r="G25" s="1017"/>
      <c r="H25" s="14">
        <v>1.8</v>
      </c>
      <c r="I25" s="1017" t="s">
        <v>759</v>
      </c>
      <c r="J25" s="1017"/>
      <c r="K25" s="17">
        <v>0.3</v>
      </c>
      <c r="L25" s="15"/>
    </row>
    <row r="26" spans="1:12" ht="13.5" customHeight="1">
      <c r="A26" s="11"/>
      <c r="C26" s="1017" t="s">
        <v>760</v>
      </c>
      <c r="D26" s="1017"/>
      <c r="E26" s="17">
        <v>0.6</v>
      </c>
      <c r="F26" s="1017" t="s">
        <v>761</v>
      </c>
      <c r="G26" s="1017"/>
      <c r="H26" s="17">
        <v>1</v>
      </c>
      <c r="I26" s="1017" t="s">
        <v>762</v>
      </c>
      <c r="J26" s="1017"/>
      <c r="K26" s="17">
        <v>8</v>
      </c>
      <c r="L26" s="15"/>
    </row>
    <row r="27" spans="1:12" ht="13.5" customHeight="1">
      <c r="A27" s="11"/>
      <c r="C27" s="10" t="s">
        <v>763</v>
      </c>
      <c r="F27" s="18">
        <f>ROUND((1000*E25*H25*K25*E26*H26/K26)/10*10,2)</f>
        <v>162</v>
      </c>
      <c r="G27" s="10" t="s">
        <v>154</v>
      </c>
      <c r="L27" s="15"/>
    </row>
    <row r="28" spans="1:12" ht="13.5" customHeight="1">
      <c r="A28" s="11"/>
      <c r="F28" s="18"/>
      <c r="L28" s="15"/>
    </row>
    <row r="29" spans="1:12" ht="13.5" customHeight="1">
      <c r="A29" s="11"/>
      <c r="B29" s="10" t="s">
        <v>1353</v>
      </c>
      <c r="L29" s="15"/>
    </row>
    <row r="30" spans="1:12" ht="13.5" customHeight="1">
      <c r="A30" s="11"/>
      <c r="C30" s="10" t="s">
        <v>1350</v>
      </c>
      <c r="E30" s="10" t="s">
        <v>1327</v>
      </c>
      <c r="L30" s="15"/>
    </row>
    <row r="31" spans="1:12" ht="13.5" customHeight="1">
      <c r="A31" s="11"/>
      <c r="C31" s="1017" t="s">
        <v>757</v>
      </c>
      <c r="D31" s="1017"/>
      <c r="E31" s="13">
        <v>4</v>
      </c>
      <c r="F31" s="1017" t="s">
        <v>758</v>
      </c>
      <c r="G31" s="1017"/>
      <c r="H31" s="14">
        <v>1.8</v>
      </c>
      <c r="I31" s="1017" t="s">
        <v>759</v>
      </c>
      <c r="J31" s="1017"/>
      <c r="K31" s="17">
        <v>0.2</v>
      </c>
      <c r="L31" s="15"/>
    </row>
    <row r="32" spans="1:12" ht="13.5" customHeight="1">
      <c r="A32" s="11"/>
      <c r="C32" s="12"/>
      <c r="D32" s="12"/>
      <c r="E32" s="13"/>
      <c r="F32" s="12"/>
      <c r="G32" s="12"/>
      <c r="H32" s="14"/>
      <c r="I32" s="12"/>
      <c r="J32" s="12"/>
      <c r="K32" s="17"/>
      <c r="L32" s="15"/>
    </row>
    <row r="33" spans="1:12" ht="13.5" customHeight="1">
      <c r="A33" s="11"/>
      <c r="C33" s="1017" t="s">
        <v>760</v>
      </c>
      <c r="D33" s="1017"/>
      <c r="E33" s="17">
        <v>0.6</v>
      </c>
      <c r="F33" s="1017" t="s">
        <v>761</v>
      </c>
      <c r="G33" s="1017"/>
      <c r="H33" s="17">
        <v>1</v>
      </c>
      <c r="I33" s="1017" t="s">
        <v>762</v>
      </c>
      <c r="J33" s="1017"/>
      <c r="K33" s="17">
        <v>10</v>
      </c>
      <c r="L33" s="15"/>
    </row>
    <row r="34" spans="1:12" ht="13.5" customHeight="1">
      <c r="A34" s="11"/>
      <c r="C34" s="10" t="s">
        <v>763</v>
      </c>
      <c r="F34" s="16">
        <f>ROUND((1000*E31*H31*K31*E33*H33/K33)/10*10,2)</f>
        <v>86.4</v>
      </c>
      <c r="G34" s="10" t="s">
        <v>154</v>
      </c>
      <c r="L34" s="15"/>
    </row>
    <row r="35" spans="1:12" ht="13.5" customHeight="1">
      <c r="A35" s="20"/>
      <c r="B35" s="21"/>
      <c r="C35" s="21"/>
      <c r="D35" s="21"/>
      <c r="E35" s="21"/>
      <c r="F35" s="221"/>
      <c r="G35" s="21"/>
      <c r="H35" s="21"/>
      <c r="I35" s="21"/>
      <c r="J35" s="21"/>
      <c r="K35" s="21"/>
      <c r="L35" s="22"/>
    </row>
    <row r="36" spans="1:12" ht="13.5" customHeight="1">
      <c r="A36" s="7"/>
      <c r="B36" s="8" t="s">
        <v>1354</v>
      </c>
      <c r="C36" s="8"/>
      <c r="D36" s="8"/>
      <c r="E36" s="8"/>
      <c r="F36" s="8"/>
      <c r="G36" s="8"/>
      <c r="H36" s="8"/>
      <c r="I36" s="8"/>
      <c r="J36" s="8"/>
      <c r="K36" s="8"/>
      <c r="L36" s="9"/>
    </row>
    <row r="37" spans="1:12" ht="13.5" customHeight="1">
      <c r="A37" s="11"/>
      <c r="C37" s="10" t="s">
        <v>1355</v>
      </c>
      <c r="E37" s="10" t="s">
        <v>1325</v>
      </c>
      <c r="L37" s="15"/>
    </row>
    <row r="38" spans="1:12" ht="13.5" customHeight="1">
      <c r="A38" s="11"/>
      <c r="C38" s="1017" t="s">
        <v>757</v>
      </c>
      <c r="D38" s="1017"/>
      <c r="E38" s="13">
        <v>1</v>
      </c>
      <c r="F38" s="1017" t="s">
        <v>758</v>
      </c>
      <c r="G38" s="1017"/>
      <c r="H38" s="14">
        <v>0.45</v>
      </c>
      <c r="I38" s="1017" t="s">
        <v>759</v>
      </c>
      <c r="J38" s="1017"/>
      <c r="K38" s="17" t="s">
        <v>764</v>
      </c>
      <c r="L38" s="15"/>
    </row>
    <row r="39" spans="1:12" ht="13.5" customHeight="1">
      <c r="A39" s="11"/>
      <c r="C39" s="1017" t="s">
        <v>760</v>
      </c>
      <c r="D39" s="1017"/>
      <c r="E39" s="17">
        <v>0.6</v>
      </c>
      <c r="F39" s="1017" t="s">
        <v>761</v>
      </c>
      <c r="G39" s="1017"/>
      <c r="H39" s="17">
        <v>1</v>
      </c>
      <c r="I39" s="1017" t="s">
        <v>762</v>
      </c>
      <c r="J39" s="1017"/>
      <c r="K39" s="17">
        <v>3</v>
      </c>
      <c r="L39" s="15"/>
    </row>
    <row r="40" spans="1:12" ht="13.5" customHeight="1">
      <c r="A40" s="11"/>
      <c r="C40" s="10" t="s">
        <v>763</v>
      </c>
      <c r="F40" s="18">
        <v>9</v>
      </c>
      <c r="G40" s="10" t="s">
        <v>154</v>
      </c>
      <c r="L40" s="15"/>
    </row>
    <row r="41" spans="1:12" ht="13.5" customHeight="1">
      <c r="A41" s="11"/>
      <c r="F41" s="18"/>
      <c r="L41" s="15"/>
    </row>
    <row r="42" spans="1:12" ht="13.5" customHeight="1">
      <c r="A42" s="11"/>
      <c r="B42" s="10" t="s">
        <v>1359</v>
      </c>
      <c r="E42" s="10" t="s">
        <v>765</v>
      </c>
      <c r="L42" s="15"/>
    </row>
    <row r="43" spans="1:12" ht="13.5" customHeight="1">
      <c r="A43" s="11"/>
      <c r="C43" s="12" t="s">
        <v>1162</v>
      </c>
      <c r="D43" s="13">
        <v>0.7</v>
      </c>
      <c r="E43" s="12" t="s">
        <v>753</v>
      </c>
      <c r="F43" s="14">
        <v>0.55000000000000004</v>
      </c>
      <c r="G43" s="10" t="s">
        <v>208</v>
      </c>
      <c r="I43" s="14">
        <f>ROUND((1/1.12),2)</f>
        <v>0.89</v>
      </c>
      <c r="J43" s="12" t="s">
        <v>674</v>
      </c>
      <c r="K43" s="14">
        <v>0.35</v>
      </c>
      <c r="L43" s="15"/>
    </row>
    <row r="44" spans="1:12" ht="13.5" customHeight="1">
      <c r="A44" s="11"/>
      <c r="C44" s="12" t="s">
        <v>766</v>
      </c>
      <c r="D44" s="18">
        <v>19</v>
      </c>
      <c r="E44" s="10" t="s">
        <v>754</v>
      </c>
      <c r="L44" s="15"/>
    </row>
    <row r="45" spans="1:12" ht="13.5" customHeight="1">
      <c r="A45" s="11"/>
      <c r="C45" s="10" t="s">
        <v>755</v>
      </c>
      <c r="F45" s="10">
        <f>ROUND((3600*D43*F43*I43*K43/D44)/10*10,2)</f>
        <v>22.72</v>
      </c>
      <c r="G45" s="10" t="s">
        <v>154</v>
      </c>
      <c r="L45" s="15"/>
    </row>
    <row r="46" spans="1:12" ht="13.5" customHeight="1">
      <c r="A46" s="11"/>
      <c r="F46" s="18"/>
      <c r="L46" s="15"/>
    </row>
    <row r="47" spans="1:12" ht="13.5" customHeight="1">
      <c r="A47" s="11"/>
      <c r="B47" s="10" t="s">
        <v>1356</v>
      </c>
      <c r="L47" s="15"/>
    </row>
    <row r="48" spans="1:12" ht="13.5" customHeight="1">
      <c r="A48" s="11"/>
      <c r="C48" s="10" t="s">
        <v>1357</v>
      </c>
      <c r="L48" s="15"/>
    </row>
    <row r="49" spans="1:12" ht="13.5" customHeight="1">
      <c r="A49" s="11"/>
      <c r="C49" s="10" t="s">
        <v>767</v>
      </c>
      <c r="D49" s="19">
        <v>20</v>
      </c>
      <c r="L49" s="15"/>
    </row>
    <row r="50" spans="1:12" ht="13.5" customHeight="1">
      <c r="A50" s="11"/>
      <c r="C50" s="10" t="s">
        <v>768</v>
      </c>
      <c r="E50" s="10" t="str">
        <f>D49&amp;"×"&amp;"1"&amp;"="</f>
        <v>20×1=</v>
      </c>
      <c r="F50" s="18">
        <v>20</v>
      </c>
      <c r="G50" s="10" t="s">
        <v>154</v>
      </c>
      <c r="L50" s="15"/>
    </row>
    <row r="51" spans="1:12" ht="13.5" customHeight="1">
      <c r="A51" s="11"/>
      <c r="F51" s="18"/>
      <c r="L51" s="15"/>
    </row>
    <row r="52" spans="1:12" ht="13.5" customHeight="1">
      <c r="A52" s="11"/>
      <c r="B52" s="10" t="s">
        <v>1358</v>
      </c>
      <c r="L52" s="15"/>
    </row>
    <row r="53" spans="1:12" ht="13.5" customHeight="1">
      <c r="A53" s="11"/>
      <c r="C53" s="10" t="s">
        <v>1357</v>
      </c>
      <c r="L53" s="15"/>
    </row>
    <row r="54" spans="1:12" ht="13.5" customHeight="1">
      <c r="A54" s="11"/>
      <c r="C54" s="10" t="s">
        <v>767</v>
      </c>
      <c r="D54" s="10">
        <v>22.7</v>
      </c>
      <c r="L54" s="15"/>
    </row>
    <row r="55" spans="1:12" ht="13.5" customHeight="1">
      <c r="A55" s="11"/>
      <c r="C55" s="10" t="s">
        <v>768</v>
      </c>
      <c r="E55" s="10" t="str">
        <f>D54&amp;"×"&amp;"1"&amp;"="</f>
        <v>22.7×1=</v>
      </c>
      <c r="F55" s="18">
        <v>22.7</v>
      </c>
      <c r="G55" s="10" t="s">
        <v>154</v>
      </c>
      <c r="L55" s="15"/>
    </row>
    <row r="56" spans="1:12" ht="13.5" customHeight="1">
      <c r="A56" s="11"/>
      <c r="F56" s="18"/>
      <c r="L56" s="15"/>
    </row>
    <row r="57" spans="1:12" ht="13.5" customHeight="1">
      <c r="A57" s="11"/>
      <c r="B57" s="10" t="s">
        <v>769</v>
      </c>
      <c r="L57" s="15"/>
    </row>
    <row r="58" spans="1:12" ht="13.5" customHeight="1">
      <c r="A58" s="11"/>
      <c r="C58" s="10" t="s">
        <v>1357</v>
      </c>
      <c r="L58" s="15"/>
    </row>
    <row r="59" spans="1:12" ht="13.5" customHeight="1">
      <c r="A59" s="11"/>
      <c r="C59" s="10" t="s">
        <v>767</v>
      </c>
      <c r="D59" s="10">
        <v>22.7</v>
      </c>
      <c r="L59" s="15"/>
    </row>
    <row r="60" spans="1:12" ht="13.5" customHeight="1">
      <c r="A60" s="11"/>
      <c r="C60" s="10" t="s">
        <v>768</v>
      </c>
      <c r="E60" s="10" t="str">
        <f>D59&amp;"×"&amp;"1"&amp;"="</f>
        <v>22.7×1=</v>
      </c>
      <c r="F60" s="18">
        <v>22.7</v>
      </c>
      <c r="G60" s="10" t="s">
        <v>154</v>
      </c>
      <c r="L60" s="15"/>
    </row>
    <row r="61" spans="1:12" ht="13.5" customHeight="1">
      <c r="A61" s="11"/>
      <c r="F61" s="18"/>
      <c r="L61" s="15"/>
    </row>
    <row r="62" spans="1:12" ht="13.5" customHeight="1">
      <c r="A62" s="11"/>
      <c r="B62" s="10" t="s">
        <v>770</v>
      </c>
      <c r="L62" s="15"/>
    </row>
    <row r="63" spans="1:12" ht="13.5" customHeight="1">
      <c r="A63" s="11"/>
      <c r="C63" s="10" t="s">
        <v>771</v>
      </c>
      <c r="L63" s="15"/>
    </row>
    <row r="64" spans="1:12" ht="13.5" customHeight="1">
      <c r="A64" s="11"/>
      <c r="C64" s="10" t="s">
        <v>767</v>
      </c>
      <c r="D64" s="10">
        <v>4</v>
      </c>
      <c r="L64" s="15"/>
    </row>
    <row r="65" spans="1:12" ht="13.5" customHeight="1">
      <c r="A65" s="11"/>
      <c r="C65" s="10" t="s">
        <v>768</v>
      </c>
      <c r="E65" s="10" t="str">
        <f>D64&amp;"×"&amp;"1"&amp;"="</f>
        <v>4×1=</v>
      </c>
      <c r="F65" s="18">
        <f>D64*1</f>
        <v>4</v>
      </c>
      <c r="G65" s="10" t="s">
        <v>154</v>
      </c>
      <c r="L65" s="15"/>
    </row>
    <row r="66" spans="1:12" ht="13.5" customHeight="1">
      <c r="A66" s="11"/>
      <c r="F66" s="18"/>
      <c r="L66" s="15"/>
    </row>
    <row r="67" spans="1:12" ht="13.5" customHeight="1">
      <c r="A67" s="11"/>
      <c r="B67" s="10" t="s">
        <v>772</v>
      </c>
      <c r="L67" s="15"/>
    </row>
    <row r="68" spans="1:12" ht="13.5" customHeight="1">
      <c r="A68" s="11"/>
      <c r="C68" s="10" t="s">
        <v>771</v>
      </c>
      <c r="L68" s="15"/>
    </row>
    <row r="69" spans="1:12" ht="13.5" customHeight="1">
      <c r="A69" s="11"/>
      <c r="C69" s="10" t="s">
        <v>767</v>
      </c>
      <c r="D69" s="10">
        <v>8</v>
      </c>
      <c r="L69" s="15"/>
    </row>
    <row r="70" spans="1:12" ht="13.5" customHeight="1">
      <c r="A70" s="20"/>
      <c r="B70" s="21"/>
      <c r="C70" s="21" t="s">
        <v>768</v>
      </c>
      <c r="D70" s="21"/>
      <c r="E70" s="21" t="str">
        <f>D69&amp;"×"&amp;"1"&amp;"="</f>
        <v>8×1=</v>
      </c>
      <c r="F70" s="221">
        <f>D69*1</f>
        <v>8</v>
      </c>
      <c r="G70" s="21" t="s">
        <v>154</v>
      </c>
      <c r="H70" s="21"/>
      <c r="I70" s="21"/>
      <c r="J70" s="21"/>
      <c r="K70" s="21"/>
      <c r="L70" s="22"/>
    </row>
    <row r="71" spans="1:12" ht="13.5" customHeight="1">
      <c r="A71" s="7"/>
      <c r="B71" s="8"/>
      <c r="C71" s="8"/>
      <c r="D71" s="8"/>
      <c r="E71" s="8"/>
      <c r="F71" s="222"/>
      <c r="G71" s="8"/>
      <c r="H71" s="8"/>
      <c r="I71" s="8"/>
      <c r="J71" s="8"/>
      <c r="K71" s="8"/>
      <c r="L71" s="9"/>
    </row>
    <row r="72" spans="1:12" ht="13.5" customHeight="1">
      <c r="A72" s="11"/>
      <c r="B72" s="10" t="s">
        <v>773</v>
      </c>
      <c r="L72" s="15"/>
    </row>
    <row r="73" spans="1:12" ht="13.5" customHeight="1">
      <c r="A73" s="11"/>
      <c r="C73" s="10" t="s">
        <v>1131</v>
      </c>
      <c r="L73" s="15"/>
    </row>
    <row r="74" spans="1:12" ht="13.5" customHeight="1">
      <c r="A74" s="11"/>
      <c r="C74" s="10" t="s">
        <v>767</v>
      </c>
      <c r="D74" s="10">
        <v>7</v>
      </c>
      <c r="L74" s="15"/>
    </row>
    <row r="75" spans="1:12" ht="13.5" customHeight="1">
      <c r="A75" s="11"/>
      <c r="C75" s="10" t="s">
        <v>768</v>
      </c>
      <c r="E75" s="10" t="str">
        <f>D74&amp;"×"&amp;"1"&amp;"="</f>
        <v>7×1=</v>
      </c>
      <c r="F75" s="18">
        <f>D74*1</f>
        <v>7</v>
      </c>
      <c r="G75" s="10" t="s">
        <v>991</v>
      </c>
      <c r="L75" s="15"/>
    </row>
    <row r="76" spans="1:12" ht="13.5" customHeight="1">
      <c r="A76" s="11"/>
      <c r="L76" s="15"/>
    </row>
    <row r="77" spans="1:12" ht="13.5" customHeight="1">
      <c r="A77" s="20"/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2"/>
    </row>
  </sheetData>
  <customSheetViews>
    <customSheetView guid="{D73D5080-A04E-11D4-B8A5-00609727EAB1}" showRuler="0" topLeftCell="A68">
      <selection activeCell="G67" sqref="G67"/>
      <pageMargins left="0.75" right="0.75" top="0.94" bottom="1.1000000000000001" header="0.5" footer="0.5"/>
      <pageSetup paperSize="9" orientation="landscape" horizontalDpi="300" verticalDpi="300" r:id="rId1"/>
      <headerFooter alignWithMargins="0"/>
    </customSheetView>
    <customSheetView guid="{2D877E0D-A04C-11D4-947E-00001C044B2C}" showRuler="0" topLeftCell="A73">
      <selection activeCell="C73" sqref="C73"/>
      <pageMargins left="0.75" right="0.75" top="0.94" bottom="1.1000000000000001" header="0.5" footer="0.5"/>
      <pageSetup paperSize="9" orientation="landscape" horizontalDpi="300" verticalDpi="300" r:id="rId2"/>
      <headerFooter alignWithMargins="0"/>
    </customSheetView>
    <customSheetView guid="{6F21C780-A002-11D4-A1D9-00104BD549C6}" showRuler="0" topLeftCell="A73">
      <selection activeCell="C73" sqref="C73"/>
      <pageMargins left="0.75" right="0.75" top="0.94" bottom="1.1000000000000001" header="0.5" footer="0.5"/>
      <pageSetup paperSize="9" orientation="landscape" horizontalDpi="300" verticalDpi="300" r:id="rId3"/>
      <headerFooter alignWithMargins="0"/>
    </customSheetView>
  </customSheetViews>
  <mergeCells count="27">
    <mergeCell ref="C38:D38"/>
    <mergeCell ref="F38:G38"/>
    <mergeCell ref="I38:J38"/>
    <mergeCell ref="C39:D39"/>
    <mergeCell ref="F39:G39"/>
    <mergeCell ref="I39:J39"/>
    <mergeCell ref="C31:D31"/>
    <mergeCell ref="F31:G31"/>
    <mergeCell ref="I31:J31"/>
    <mergeCell ref="C33:D33"/>
    <mergeCell ref="F33:G33"/>
    <mergeCell ref="I33:J33"/>
    <mergeCell ref="C25:D25"/>
    <mergeCell ref="F25:G25"/>
    <mergeCell ref="I25:J25"/>
    <mergeCell ref="C26:D26"/>
    <mergeCell ref="F26:G26"/>
    <mergeCell ref="I26:J26"/>
    <mergeCell ref="I20:J20"/>
    <mergeCell ref="F19:G19"/>
    <mergeCell ref="I19:J19"/>
    <mergeCell ref="C19:D19"/>
    <mergeCell ref="G3:H3"/>
    <mergeCell ref="G8:H8"/>
    <mergeCell ref="G13:H13"/>
    <mergeCell ref="C20:D20"/>
    <mergeCell ref="F20:G20"/>
  </mergeCells>
  <phoneticPr fontId="3" type="noConversion"/>
  <printOptions horizontalCentered="1"/>
  <pageMargins left="0.39370078740157483" right="0.39370078740157483" top="0.78740157480314965" bottom="0.77" header="0.39370078740157483" footer="0.39370078740157483"/>
  <pageSetup paperSize="9" orientation="landscape" r:id="rId4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4"/>
  <dimension ref="A1:H30"/>
  <sheetViews>
    <sheetView workbookViewId="0">
      <selection activeCell="F33" sqref="F33"/>
    </sheetView>
  </sheetViews>
  <sheetFormatPr defaultColWidth="8.88671875" defaultRowHeight="20.100000000000001" customHeight="1"/>
  <cols>
    <col min="1" max="1" width="6" style="28" customWidth="1"/>
    <col min="2" max="2" width="32.5546875" style="29" customWidth="1"/>
    <col min="3" max="3" width="6.33203125" style="28" customWidth="1"/>
    <col min="4" max="4" width="6.109375" style="28" customWidth="1"/>
    <col min="5" max="8" width="15.77734375" style="29" customWidth="1"/>
    <col min="9" max="16384" width="8.88671875" style="10"/>
  </cols>
  <sheetData>
    <row r="1" spans="1:8" ht="20.100000000000001" customHeight="1">
      <c r="A1" s="23" t="s">
        <v>692</v>
      </c>
      <c r="B1" s="24"/>
      <c r="C1" s="25"/>
      <c r="D1" s="25"/>
      <c r="E1" s="26"/>
      <c r="F1" s="26"/>
      <c r="G1" s="26"/>
      <c r="H1" s="26"/>
    </row>
    <row r="2" spans="1:8" ht="22.5" customHeight="1">
      <c r="A2" s="377" t="s">
        <v>524</v>
      </c>
      <c r="B2" s="415" t="s">
        <v>525</v>
      </c>
      <c r="C2" s="377" t="s">
        <v>526</v>
      </c>
      <c r="D2" s="377" t="s">
        <v>1158</v>
      </c>
      <c r="E2" s="415" t="s">
        <v>597</v>
      </c>
      <c r="F2" s="415" t="s">
        <v>513</v>
      </c>
      <c r="G2" s="415" t="s">
        <v>514</v>
      </c>
      <c r="H2" s="415" t="s">
        <v>598</v>
      </c>
    </row>
    <row r="3" spans="1:8" ht="15" customHeight="1">
      <c r="A3" s="1">
        <v>1</v>
      </c>
      <c r="B3" s="27" t="str">
        <f>자재내역!F4</f>
        <v>양회</v>
      </c>
      <c r="C3" s="1">
        <v>1</v>
      </c>
      <c r="D3" s="1" t="s">
        <v>1013</v>
      </c>
      <c r="E3" s="30">
        <f t="shared" ref="E3:E19" si="0">SUM(F3:H3)</f>
        <v>115909</v>
      </c>
      <c r="F3" s="30">
        <f>자재내역!H10</f>
        <v>28870</v>
      </c>
      <c r="G3" s="30">
        <f>자재내역!J10</f>
        <v>76345</v>
      </c>
      <c r="H3" s="30">
        <f>자재내역!L10</f>
        <v>10694</v>
      </c>
    </row>
    <row r="4" spans="1:8" ht="15" customHeight="1">
      <c r="A4" s="1">
        <v>2</v>
      </c>
      <c r="B4" s="27" t="str">
        <f>자재내역!F11</f>
        <v>철근</v>
      </c>
      <c r="C4" s="1">
        <v>1</v>
      </c>
      <c r="D4" s="1" t="s">
        <v>1013</v>
      </c>
      <c r="E4" s="30">
        <f t="shared" si="0"/>
        <v>25639</v>
      </c>
      <c r="F4" s="30">
        <f>자재내역!H16</f>
        <v>25429</v>
      </c>
      <c r="G4" s="30">
        <f>자재내역!J16</f>
        <v>65</v>
      </c>
      <c r="H4" s="30">
        <f>자재내역!L16</f>
        <v>145</v>
      </c>
    </row>
    <row r="5" spans="1:8" ht="15" customHeight="1">
      <c r="A5" s="1">
        <v>3</v>
      </c>
      <c r="B5" s="27" t="str">
        <f>자재내역!F17</f>
        <v>목재</v>
      </c>
      <c r="C5" s="1">
        <v>1</v>
      </c>
      <c r="D5" s="1" t="s">
        <v>1014</v>
      </c>
      <c r="E5" s="30">
        <f t="shared" si="0"/>
        <v>17543</v>
      </c>
      <c r="F5" s="30">
        <f>자재내역!H22</f>
        <v>11668</v>
      </c>
      <c r="G5" s="30">
        <f>자재내역!J22</f>
        <v>38</v>
      </c>
      <c r="H5" s="30">
        <f>자재내역!L22</f>
        <v>5837</v>
      </c>
    </row>
    <row r="6" spans="1:8" ht="15" customHeight="1">
      <c r="A6" s="1">
        <v>4</v>
      </c>
      <c r="B6" s="27" t="str">
        <f>자재내역!F23</f>
        <v>일반철재</v>
      </c>
      <c r="C6" s="1">
        <v>1</v>
      </c>
      <c r="D6" s="1" t="s">
        <v>1013</v>
      </c>
      <c r="E6" s="30">
        <f t="shared" si="0"/>
        <v>32287</v>
      </c>
      <c r="F6" s="30">
        <f>자재내역!H28</f>
        <v>23708</v>
      </c>
      <c r="G6" s="30">
        <f>자재내역!J28</f>
        <v>65</v>
      </c>
      <c r="H6" s="30">
        <f>자재내역!L28</f>
        <v>8514</v>
      </c>
    </row>
    <row r="7" spans="1:8" ht="15" customHeight="1">
      <c r="A7" s="1">
        <v>5</v>
      </c>
      <c r="B7" s="27" t="str">
        <f>자재내역!F29</f>
        <v>특수철재</v>
      </c>
      <c r="C7" s="1">
        <v>1</v>
      </c>
      <c r="D7" s="1" t="s">
        <v>1013</v>
      </c>
      <c r="E7" s="30">
        <f>SUM(F7:H7)</f>
        <v>44348</v>
      </c>
      <c r="F7" s="30">
        <f>자재내역!H34</f>
        <v>23708</v>
      </c>
      <c r="G7" s="30">
        <f>자재내역!J34</f>
        <v>65</v>
      </c>
      <c r="H7" s="30">
        <f>자재내역!L34</f>
        <v>20575</v>
      </c>
    </row>
    <row r="8" spans="1:8" ht="15" customHeight="1">
      <c r="A8" s="1">
        <v>6</v>
      </c>
      <c r="B8" s="27" t="str">
        <f>자재내역!F35</f>
        <v>모래</v>
      </c>
      <c r="C8" s="1">
        <v>1</v>
      </c>
      <c r="D8" s="1" t="s">
        <v>1013</v>
      </c>
      <c r="E8" s="30">
        <f t="shared" si="0"/>
        <v>34437</v>
      </c>
      <c r="F8" s="30">
        <f>자재내역!H40</f>
        <v>18754</v>
      </c>
      <c r="G8" s="30">
        <f>자재내역!J40</f>
        <v>14351</v>
      </c>
      <c r="H8" s="30">
        <f>자재내역!L40</f>
        <v>1332</v>
      </c>
    </row>
    <row r="9" spans="1:8" ht="15" customHeight="1">
      <c r="A9" s="1">
        <v>7</v>
      </c>
      <c r="B9" s="27" t="str">
        <f>자재내역!F41</f>
        <v xml:space="preserve">자갈 </v>
      </c>
      <c r="C9" s="1">
        <v>1</v>
      </c>
      <c r="D9" s="1" t="s">
        <v>1013</v>
      </c>
      <c r="E9" s="30">
        <f t="shared" si="0"/>
        <v>31042</v>
      </c>
      <c r="F9" s="30">
        <f>자재내역!H46</f>
        <v>20237</v>
      </c>
      <c r="G9" s="30">
        <f>자재내역!J46</f>
        <v>9958</v>
      </c>
      <c r="H9" s="30">
        <f>자재내역!L46</f>
        <v>847</v>
      </c>
    </row>
    <row r="10" spans="1:8" ht="15" customHeight="1">
      <c r="A10" s="1">
        <v>8</v>
      </c>
      <c r="B10" s="27" t="str">
        <f>자재내역!F47</f>
        <v>혼합석(50mm)</v>
      </c>
      <c r="C10" s="1">
        <v>1</v>
      </c>
      <c r="D10" s="1" t="s">
        <v>1014</v>
      </c>
      <c r="E10" s="30">
        <f t="shared" si="0"/>
        <v>51445</v>
      </c>
      <c r="F10" s="30">
        <f>자재내역!H52</f>
        <v>36588</v>
      </c>
      <c r="G10" s="30">
        <f>자재내역!J52</f>
        <v>12635</v>
      </c>
      <c r="H10" s="30">
        <f>자재내역!L52</f>
        <v>2222</v>
      </c>
    </row>
    <row r="11" spans="1:8" ht="15" customHeight="1">
      <c r="A11" s="1">
        <v>9</v>
      </c>
      <c r="B11" s="27" t="str">
        <f>자재내역!F53</f>
        <v>흄관운반 (D500)</v>
      </c>
      <c r="C11" s="1">
        <v>1</v>
      </c>
      <c r="D11" s="1" t="s">
        <v>635</v>
      </c>
      <c r="E11" s="30">
        <f t="shared" si="0"/>
        <v>7558</v>
      </c>
      <c r="F11" s="30">
        <f>자재내역!H57</f>
        <v>6862</v>
      </c>
      <c r="G11" s="30">
        <f>자재내역!J57</f>
        <v>573</v>
      </c>
      <c r="H11" s="30">
        <f>자재내역!L57</f>
        <v>123</v>
      </c>
    </row>
    <row r="12" spans="1:8" ht="15" customHeight="1">
      <c r="A12" s="1">
        <v>10</v>
      </c>
      <c r="B12" s="27" t="str">
        <f>자재내역!F58</f>
        <v>흄관운반 (D600)</v>
      </c>
      <c r="C12" s="1">
        <v>1</v>
      </c>
      <c r="D12" s="1" t="s">
        <v>635</v>
      </c>
      <c r="E12" s="30">
        <f t="shared" si="0"/>
        <v>10959</v>
      </c>
      <c r="F12" s="30">
        <f>자재내역!H62</f>
        <v>9968</v>
      </c>
      <c r="G12" s="30">
        <f>자재내역!J62</f>
        <v>816</v>
      </c>
      <c r="H12" s="30">
        <f>자재내역!L62</f>
        <v>175</v>
      </c>
    </row>
    <row r="13" spans="1:8" ht="15" customHeight="1">
      <c r="A13" s="1">
        <v>11</v>
      </c>
      <c r="B13" s="27" t="str">
        <f>자재내역!F63</f>
        <v>흄관운반 (D800)</v>
      </c>
      <c r="C13" s="1">
        <v>1</v>
      </c>
      <c r="D13" s="1" t="s">
        <v>635</v>
      </c>
      <c r="E13" s="30">
        <f t="shared" si="0"/>
        <v>19261</v>
      </c>
      <c r="F13" s="30">
        <f>자재내역!H67</f>
        <v>17516</v>
      </c>
      <c r="G13" s="30">
        <f>자재내역!J67</f>
        <v>1436</v>
      </c>
      <c r="H13" s="30">
        <f>자재내역!L67</f>
        <v>309</v>
      </c>
    </row>
    <row r="14" spans="1:8" ht="15" customHeight="1">
      <c r="A14" s="1">
        <v>12</v>
      </c>
      <c r="B14" s="27" t="str">
        <f>자재내역!F68</f>
        <v>흄관운반 (D1000)</v>
      </c>
      <c r="C14" s="1">
        <v>1</v>
      </c>
      <c r="D14" s="1" t="s">
        <v>635</v>
      </c>
      <c r="E14" s="30">
        <f>SUM(F14:H14)</f>
        <v>29941</v>
      </c>
      <c r="F14" s="30">
        <f>자재내역!H72</f>
        <v>27231</v>
      </c>
      <c r="G14" s="30">
        <f>자재내역!J72</f>
        <v>2230</v>
      </c>
      <c r="H14" s="30">
        <f>자재내역!L72</f>
        <v>480</v>
      </c>
    </row>
    <row r="15" spans="1:8" ht="15" customHeight="1">
      <c r="A15" s="1">
        <v>13</v>
      </c>
      <c r="B15" s="27" t="str">
        <f>자재내역!F73</f>
        <v>수로관운반 (400*400)</v>
      </c>
      <c r="C15" s="1">
        <v>1</v>
      </c>
      <c r="D15" s="1" t="s">
        <v>635</v>
      </c>
      <c r="E15" s="30">
        <f t="shared" si="0"/>
        <v>7003</v>
      </c>
      <c r="F15" s="30">
        <f>자재내역!H77</f>
        <v>6361</v>
      </c>
      <c r="G15" s="30">
        <f>자재내역!J77</f>
        <v>529</v>
      </c>
      <c r="H15" s="30">
        <f>자재내역!L77</f>
        <v>113</v>
      </c>
    </row>
    <row r="16" spans="1:8" ht="15" customHeight="1">
      <c r="A16" s="1">
        <v>14</v>
      </c>
      <c r="B16" s="27" t="str">
        <f>자재내역!F78</f>
        <v>수로관운반 (500*500)</v>
      </c>
      <c r="C16" s="1">
        <v>1</v>
      </c>
      <c r="D16" s="1" t="s">
        <v>635</v>
      </c>
      <c r="E16" s="30">
        <f t="shared" si="0"/>
        <v>9555</v>
      </c>
      <c r="F16" s="30">
        <f>자재내역!H82</f>
        <v>8702</v>
      </c>
      <c r="G16" s="30">
        <f>자재내역!J82</f>
        <v>702</v>
      </c>
      <c r="H16" s="30">
        <f>자재내역!L82</f>
        <v>151</v>
      </c>
    </row>
    <row r="17" spans="1:8" ht="15" customHeight="1">
      <c r="A17" s="1">
        <v>15</v>
      </c>
      <c r="B17" s="27" t="str">
        <f>자재내역!F83</f>
        <v>수로관운반 (600*500)</v>
      </c>
      <c r="C17" s="1">
        <v>1</v>
      </c>
      <c r="D17" s="1" t="s">
        <v>635</v>
      </c>
      <c r="E17" s="30">
        <f t="shared" si="0"/>
        <v>10939</v>
      </c>
      <c r="F17" s="30">
        <f>자재내역!H87</f>
        <v>9953</v>
      </c>
      <c r="G17" s="30">
        <f>자재내역!J87</f>
        <v>812</v>
      </c>
      <c r="H17" s="30">
        <f>자재내역!L87</f>
        <v>174</v>
      </c>
    </row>
    <row r="18" spans="1:8" ht="15" customHeight="1">
      <c r="A18" s="1">
        <v>16</v>
      </c>
      <c r="B18" s="27" t="str">
        <f>자재내역!F88</f>
        <v>수로관운반 (600*600)</v>
      </c>
      <c r="C18" s="1">
        <v>1</v>
      </c>
      <c r="D18" s="1" t="s">
        <v>635</v>
      </c>
      <c r="E18" s="30">
        <f>SUM(F18:H18)</f>
        <v>12855</v>
      </c>
      <c r="F18" s="30">
        <f>자재내역!H92</f>
        <v>11683</v>
      </c>
      <c r="G18" s="30">
        <f>자재내역!J92</f>
        <v>965</v>
      </c>
      <c r="H18" s="30">
        <f>자재내역!L92</f>
        <v>207</v>
      </c>
    </row>
    <row r="19" spans="1:8" ht="15" customHeight="1">
      <c r="A19" s="1">
        <v>17</v>
      </c>
      <c r="B19" s="27" t="str">
        <f>자재내역!F93</f>
        <v>수로관운반 (800*700)</v>
      </c>
      <c r="C19" s="1">
        <v>1</v>
      </c>
      <c r="D19" s="1" t="s">
        <v>635</v>
      </c>
      <c r="E19" s="30">
        <f t="shared" si="0"/>
        <v>16638</v>
      </c>
      <c r="F19" s="30">
        <f>자재내역!H97</f>
        <v>15122</v>
      </c>
      <c r="G19" s="30">
        <f>자재내역!J97</f>
        <v>1248</v>
      </c>
      <c r="H19" s="30">
        <f>자재내역!L97</f>
        <v>268</v>
      </c>
    </row>
    <row r="20" spans="1:8" ht="15" customHeight="1">
      <c r="A20" s="1">
        <v>18</v>
      </c>
      <c r="B20" s="27" t="str">
        <f>자재내역!F98</f>
        <v>수로관운반 (1000*1000)</v>
      </c>
      <c r="C20" s="1">
        <v>1</v>
      </c>
      <c r="D20" s="1" t="s">
        <v>14</v>
      </c>
      <c r="E20" s="30">
        <f>SUM(F20:H20)</f>
        <v>25168</v>
      </c>
      <c r="F20" s="30">
        <f>자재내역!H102</f>
        <v>22884</v>
      </c>
      <c r="G20" s="30">
        <f>자재내역!J102</f>
        <v>1880</v>
      </c>
      <c r="H20" s="30">
        <f>자재내역!L102</f>
        <v>404</v>
      </c>
    </row>
    <row r="21" spans="1:8" ht="15" customHeight="1">
      <c r="A21" s="1">
        <v>19</v>
      </c>
      <c r="B21" s="27" t="str">
        <f>자재내역!F103</f>
        <v>수로관운반 (1200*1000)</v>
      </c>
      <c r="C21" s="1">
        <v>1</v>
      </c>
      <c r="D21" s="1" t="s">
        <v>14</v>
      </c>
      <c r="E21" s="30">
        <f>SUM(F21:H21)</f>
        <v>32120</v>
      </c>
      <c r="F21" s="30">
        <f>자재내역!H107</f>
        <v>29206</v>
      </c>
      <c r="G21" s="30">
        <f>자재내역!J107</f>
        <v>2398</v>
      </c>
      <c r="H21" s="30">
        <f>자재내역!L107</f>
        <v>516</v>
      </c>
    </row>
    <row r="22" spans="1:8" ht="15" customHeight="1">
      <c r="A22" s="1">
        <v>20</v>
      </c>
      <c r="B22" s="27" t="str">
        <f>자재내역!F108</f>
        <v>수로관운반 (1500*1200)</v>
      </c>
      <c r="C22" s="1">
        <v>1</v>
      </c>
      <c r="D22" s="1" t="s">
        <v>635</v>
      </c>
      <c r="E22" s="30">
        <f t="shared" ref="E22:E29" si="1">SUM(F22:H22)</f>
        <v>41721</v>
      </c>
      <c r="F22" s="30">
        <f>자재내역!H112</f>
        <v>37942</v>
      </c>
      <c r="G22" s="30">
        <f>자재내역!J112</f>
        <v>3110</v>
      </c>
      <c r="H22" s="30">
        <f>자재내역!L112</f>
        <v>669</v>
      </c>
    </row>
    <row r="23" spans="1:8" ht="15" customHeight="1">
      <c r="A23" s="1">
        <v>21</v>
      </c>
      <c r="B23" s="27" t="s">
        <v>1781</v>
      </c>
      <c r="C23" s="1">
        <v>1</v>
      </c>
      <c r="D23" s="1" t="s">
        <v>14</v>
      </c>
      <c r="E23" s="30">
        <f>SUM(F23:H23)</f>
        <v>28761</v>
      </c>
      <c r="F23" s="30">
        <f>자재내역!H116</f>
        <v>21456</v>
      </c>
      <c r="G23" s="30">
        <f>자재내역!J116</f>
        <v>6011</v>
      </c>
      <c r="H23" s="30">
        <f>자재내역!L116</f>
        <v>1294</v>
      </c>
    </row>
    <row r="24" spans="1:8" ht="15" customHeight="1">
      <c r="A24" s="1">
        <v>22</v>
      </c>
      <c r="B24" s="27" t="s">
        <v>2514</v>
      </c>
      <c r="C24" s="1">
        <v>1</v>
      </c>
      <c r="D24" s="1" t="s">
        <v>14</v>
      </c>
      <c r="E24" s="30">
        <f>SUM(F24:H24)</f>
        <v>68795</v>
      </c>
      <c r="F24" s="30">
        <f>자재내역!H121</f>
        <v>62553</v>
      </c>
      <c r="G24" s="30">
        <f>자재내역!J121</f>
        <v>5136</v>
      </c>
      <c r="H24" s="30">
        <f>자재내역!L121</f>
        <v>1106</v>
      </c>
    </row>
    <row r="25" spans="1:8" ht="15" customHeight="1">
      <c r="A25" s="1">
        <v>23</v>
      </c>
      <c r="B25" s="27" t="str">
        <f>자재내역!F122</f>
        <v>PE관운반 (D100mm)</v>
      </c>
      <c r="C25" s="1">
        <v>1</v>
      </c>
      <c r="D25" s="1" t="s">
        <v>635</v>
      </c>
      <c r="E25" s="30">
        <f t="shared" si="1"/>
        <v>491</v>
      </c>
      <c r="F25" s="30">
        <f>자재내역!H124</f>
        <v>384</v>
      </c>
      <c r="G25" s="30">
        <f>자재내역!J124</f>
        <v>107</v>
      </c>
      <c r="H25" s="30" t="s">
        <v>1920</v>
      </c>
    </row>
    <row r="26" spans="1:8" ht="15" customHeight="1">
      <c r="A26" s="1">
        <v>24</v>
      </c>
      <c r="B26" s="27" t="str">
        <f>자재내역!F125</f>
        <v>PE관운반 (D150mm)</v>
      </c>
      <c r="C26" s="1">
        <v>1</v>
      </c>
      <c r="D26" s="1" t="s">
        <v>635</v>
      </c>
      <c r="E26" s="30">
        <f t="shared" si="1"/>
        <v>701</v>
      </c>
      <c r="F26" s="30">
        <f>자재내역!H127</f>
        <v>524</v>
      </c>
      <c r="G26" s="30">
        <f>자재내역!J127</f>
        <v>146</v>
      </c>
      <c r="H26" s="30">
        <f>자재내역!L127</f>
        <v>31</v>
      </c>
    </row>
    <row r="27" spans="1:8" ht="15" customHeight="1">
      <c r="A27" s="1">
        <v>25</v>
      </c>
      <c r="B27" s="27" t="str">
        <f>자재내역!F128</f>
        <v>PE관운반 (D200mm)</v>
      </c>
      <c r="C27" s="1">
        <v>1</v>
      </c>
      <c r="D27" s="1" t="s">
        <v>635</v>
      </c>
      <c r="E27" s="30">
        <f t="shared" si="1"/>
        <v>908</v>
      </c>
      <c r="F27" s="30">
        <f>자재내역!H130</f>
        <v>678</v>
      </c>
      <c r="G27" s="30">
        <f>자재내역!J130</f>
        <v>190</v>
      </c>
      <c r="H27" s="30">
        <f>자재내역!L130</f>
        <v>40</v>
      </c>
    </row>
    <row r="28" spans="1:8" ht="15" customHeight="1">
      <c r="A28" s="1">
        <v>26</v>
      </c>
      <c r="B28" s="27" t="str">
        <f>자재내역!F131</f>
        <v>PE관운반 (D250mm)</v>
      </c>
      <c r="C28" s="1">
        <v>1</v>
      </c>
      <c r="D28" s="1" t="s">
        <v>635</v>
      </c>
      <c r="E28" s="30">
        <f t="shared" si="1"/>
        <v>1103</v>
      </c>
      <c r="F28" s="30">
        <f>자재내역!H133</f>
        <v>824</v>
      </c>
      <c r="G28" s="30">
        <f>자재내역!J133</f>
        <v>230</v>
      </c>
      <c r="H28" s="30">
        <f>자재내역!L133</f>
        <v>49</v>
      </c>
    </row>
    <row r="29" spans="1:8" ht="15" customHeight="1">
      <c r="A29" s="1">
        <v>27</v>
      </c>
      <c r="B29" s="27" t="str">
        <f>자재내역!F134</f>
        <v>PE관운반 (D300mm)</v>
      </c>
      <c r="C29" s="1">
        <v>1</v>
      </c>
      <c r="D29" s="1" t="s">
        <v>635</v>
      </c>
      <c r="E29" s="30">
        <f t="shared" si="1"/>
        <v>1718</v>
      </c>
      <c r="F29" s="30">
        <f>자재내역!H136</f>
        <v>1282</v>
      </c>
      <c r="G29" s="30">
        <f>자재내역!J136</f>
        <v>359</v>
      </c>
      <c r="H29" s="30">
        <f>자재내역!L136</f>
        <v>77</v>
      </c>
    </row>
    <row r="30" spans="1:8" ht="15" customHeight="1">
      <c r="A30" s="1">
        <v>28</v>
      </c>
      <c r="B30" s="27" t="str">
        <f>자재내역!F137</f>
        <v>PE관운반 (D500mm)</v>
      </c>
      <c r="C30" s="1">
        <v>1</v>
      </c>
      <c r="D30" s="1" t="s">
        <v>14</v>
      </c>
      <c r="E30" s="30">
        <f>SUM(F30:H30)</f>
        <v>2577</v>
      </c>
      <c r="F30" s="30">
        <f>자재내역!H139</f>
        <v>1923</v>
      </c>
      <c r="G30" s="30">
        <f>자재내역!J139</f>
        <v>538</v>
      </c>
      <c r="H30" s="30">
        <f>자재내역!L139</f>
        <v>116</v>
      </c>
    </row>
  </sheetData>
  <customSheetViews>
    <customSheetView guid="{D73D5080-A04E-11D4-B8A5-00609727EAB1}" showPageBreaks="1" showRuler="0" topLeftCell="A30">
      <selection activeCell="D39" sqref="D39"/>
      <pageMargins left="0.75" right="0.53" top="1.05" bottom="1.1299999999999999" header="0.5" footer="0.5"/>
      <pageSetup paperSize="9" orientation="landscape" horizontalDpi="300" verticalDpi="300" r:id="rId1"/>
      <headerFooter alignWithMargins="0"/>
    </customSheetView>
    <customSheetView guid="{2D877E0D-A04C-11D4-947E-00001C044B2C}" showRuler="0" topLeftCell="C40">
      <selection activeCell="F47" sqref="F47"/>
      <pageMargins left="0.75" right="0.53" top="1.05" bottom="1.1299999999999999" header="0.5" footer="0.5"/>
      <pageSetup paperSize="9" orientation="landscape" horizontalDpi="300" verticalDpi="300" r:id="rId2"/>
      <headerFooter alignWithMargins="0"/>
    </customSheetView>
    <customSheetView guid="{6F21C780-A002-11D4-A1D9-00104BD549C6}" showRuler="0" topLeftCell="C40">
      <selection activeCell="F47" sqref="F47"/>
      <pageMargins left="0.75" right="0.53" top="1.05" bottom="1.1299999999999999" header="0.5" footer="0.5"/>
      <pageSetup paperSize="9" orientation="landscape" horizontalDpi="300" verticalDpi="300" r:id="rId3"/>
      <headerFooter alignWithMargins="0"/>
    </customSheetView>
  </customSheetViews>
  <phoneticPr fontId="3" type="noConversion"/>
  <printOptions horizontalCentered="1"/>
  <pageMargins left="0.39370078740157483" right="0.39370078740157483" top="0.78740157480314965" bottom="0.59055118110236227" header="0.39370078740157483" footer="0.39370078740157483"/>
  <pageSetup paperSize="9" orientation="landscape" r:id="rId4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3"/>
  <dimension ref="A1:L139"/>
  <sheetViews>
    <sheetView workbookViewId="0">
      <selection activeCell="E12" sqref="E12"/>
    </sheetView>
  </sheetViews>
  <sheetFormatPr defaultColWidth="8.88671875" defaultRowHeight="15" customHeight="1"/>
  <cols>
    <col min="1" max="1" width="12.6640625" style="10" customWidth="1"/>
    <col min="2" max="2" width="16.77734375" style="14" customWidth="1"/>
    <col min="3" max="3" width="8.88671875" style="10"/>
    <col min="4" max="4" width="8.88671875" style="28"/>
    <col min="5" max="12" width="8.88671875" style="29"/>
    <col min="13" max="16384" width="8.88671875" style="10"/>
  </cols>
  <sheetData>
    <row r="1" spans="1:12" ht="20.100000000000001" customHeight="1">
      <c r="A1" s="23" t="s">
        <v>98</v>
      </c>
      <c r="B1" s="127"/>
      <c r="C1" s="25"/>
      <c r="D1" s="25"/>
      <c r="E1" s="26"/>
      <c r="F1" s="26"/>
      <c r="G1" s="26"/>
      <c r="H1" s="26"/>
      <c r="I1" s="26"/>
      <c r="J1" s="26"/>
      <c r="K1" s="26"/>
      <c r="L1" s="26"/>
    </row>
    <row r="2" spans="1:12" ht="15" customHeight="1">
      <c r="A2" s="1104" t="s">
        <v>487</v>
      </c>
      <c r="B2" s="617" t="s">
        <v>488</v>
      </c>
      <c r="C2" s="1104" t="s">
        <v>489</v>
      </c>
      <c r="D2" s="1104" t="s">
        <v>1144</v>
      </c>
      <c r="E2" s="1110" t="s">
        <v>597</v>
      </c>
      <c r="F2" s="1111"/>
      <c r="G2" s="1110" t="s">
        <v>513</v>
      </c>
      <c r="H2" s="1111"/>
      <c r="I2" s="1110" t="s">
        <v>514</v>
      </c>
      <c r="J2" s="1111"/>
      <c r="K2" s="1110" t="s">
        <v>1395</v>
      </c>
      <c r="L2" s="1111"/>
    </row>
    <row r="3" spans="1:12" ht="15" customHeight="1">
      <c r="A3" s="1104"/>
      <c r="B3" s="662" t="s">
        <v>1396</v>
      </c>
      <c r="C3" s="1104"/>
      <c r="D3" s="1104"/>
      <c r="E3" s="604" t="s">
        <v>1397</v>
      </c>
      <c r="F3" s="604" t="s">
        <v>1398</v>
      </c>
      <c r="G3" s="604" t="s">
        <v>1397</v>
      </c>
      <c r="H3" s="604" t="s">
        <v>1398</v>
      </c>
      <c r="I3" s="604" t="s">
        <v>1397</v>
      </c>
      <c r="J3" s="604" t="s">
        <v>1398</v>
      </c>
      <c r="K3" s="604" t="s">
        <v>1397</v>
      </c>
      <c r="L3" s="604" t="s">
        <v>516</v>
      </c>
    </row>
    <row r="4" spans="1:12" ht="13.5" customHeight="1">
      <c r="A4" s="20"/>
      <c r="B4" s="127"/>
      <c r="C4" s="21"/>
      <c r="D4" s="58"/>
      <c r="E4" s="181">
        <v>1</v>
      </c>
      <c r="F4" s="63" t="s">
        <v>490</v>
      </c>
      <c r="G4" s="63"/>
      <c r="H4" s="63"/>
      <c r="I4" s="63"/>
      <c r="J4" s="63" t="s">
        <v>517</v>
      </c>
      <c r="K4" s="63"/>
      <c r="L4" s="182"/>
    </row>
    <row r="5" spans="1:12" ht="13.5" customHeight="1">
      <c r="A5" s="183" t="s">
        <v>400</v>
      </c>
      <c r="B5" s="42" t="s">
        <v>401</v>
      </c>
      <c r="C5" s="184">
        <v>1</v>
      </c>
      <c r="D5" s="185" t="s">
        <v>989</v>
      </c>
      <c r="E5" s="186">
        <f>G5+I5+K5</f>
        <v>75795</v>
      </c>
      <c r="F5" s="187">
        <f>H5+J5+L5</f>
        <v>75795</v>
      </c>
      <c r="G5" s="188"/>
      <c r="H5" s="187">
        <f>INT(G5*C5)</f>
        <v>0</v>
      </c>
      <c r="I5" s="188">
        <f>INT(83375/1.1)</f>
        <v>75795</v>
      </c>
      <c r="J5" s="187">
        <f>INT(I5*C5)</f>
        <v>75795</v>
      </c>
      <c r="K5" s="188"/>
      <c r="L5" s="187">
        <f>INT(K5*C5)</f>
        <v>0</v>
      </c>
    </row>
    <row r="6" spans="1:12" ht="13.5" customHeight="1">
      <c r="A6" s="11" t="s">
        <v>518</v>
      </c>
      <c r="B6" s="189" t="s">
        <v>1360</v>
      </c>
      <c r="C6" s="110">
        <f>자재작업량!F7</f>
        <v>0.08</v>
      </c>
      <c r="D6" s="121" t="s">
        <v>1328</v>
      </c>
      <c r="E6" s="190">
        <f t="shared" ref="E6:F8" si="0">G6+I6+K6</f>
        <v>172068</v>
      </c>
      <c r="F6" s="191">
        <f t="shared" si="0"/>
        <v>13765</v>
      </c>
      <c r="G6" s="192">
        <f>노임!D14</f>
        <v>172068</v>
      </c>
      <c r="H6" s="191">
        <f>INT(G6*C6)</f>
        <v>13765</v>
      </c>
      <c r="I6" s="192">
        <v>0</v>
      </c>
      <c r="J6" s="191">
        <f>INT(I6*C6)</f>
        <v>0</v>
      </c>
      <c r="K6" s="192">
        <v>0</v>
      </c>
      <c r="L6" s="191">
        <f>INT(K6*C6)</f>
        <v>0</v>
      </c>
    </row>
    <row r="7" spans="1:12" ht="13.5" customHeight="1">
      <c r="A7" s="183" t="s">
        <v>492</v>
      </c>
      <c r="B7" s="42" t="s">
        <v>614</v>
      </c>
      <c r="C7" s="193">
        <v>1</v>
      </c>
      <c r="D7" s="185" t="s">
        <v>1013</v>
      </c>
      <c r="E7" s="190">
        <f t="shared" si="0"/>
        <v>8918</v>
      </c>
      <c r="F7" s="191">
        <f t="shared" si="0"/>
        <v>8918</v>
      </c>
      <c r="G7" s="192">
        <f>자재단위당!H4</f>
        <v>8223</v>
      </c>
      <c r="H7" s="191">
        <f>INT(G7*C7)</f>
        <v>8223</v>
      </c>
      <c r="I7" s="192">
        <f>자재단위당!I4</f>
        <v>550</v>
      </c>
      <c r="J7" s="191">
        <f>INT(I7*C7)</f>
        <v>550</v>
      </c>
      <c r="K7" s="192">
        <f>자재단위당!J4</f>
        <v>145</v>
      </c>
      <c r="L7" s="191">
        <f>INT(K7*C7)</f>
        <v>145</v>
      </c>
    </row>
    <row r="8" spans="1:12" ht="13.5" customHeight="1">
      <c r="A8" s="183" t="s">
        <v>493</v>
      </c>
      <c r="B8" s="42" t="s">
        <v>1360</v>
      </c>
      <c r="C8" s="194">
        <f>자재작업량!F18</f>
        <v>0.04</v>
      </c>
      <c r="D8" s="185" t="s">
        <v>1328</v>
      </c>
      <c r="E8" s="190">
        <f t="shared" si="0"/>
        <v>172068</v>
      </c>
      <c r="F8" s="191">
        <f t="shared" si="0"/>
        <v>6882</v>
      </c>
      <c r="G8" s="192">
        <f>노임!D14</f>
        <v>172068</v>
      </c>
      <c r="H8" s="191">
        <f>INT(G8*C8)</f>
        <v>6882</v>
      </c>
      <c r="I8" s="192">
        <v>0</v>
      </c>
      <c r="J8" s="191">
        <f>INT(I8*C8)</f>
        <v>0</v>
      </c>
      <c r="K8" s="192">
        <v>0</v>
      </c>
      <c r="L8" s="191">
        <f>INT(K8*C8)</f>
        <v>0</v>
      </c>
    </row>
    <row r="9" spans="1:12" ht="13.5" customHeight="1">
      <c r="A9" s="439" t="s">
        <v>402</v>
      </c>
      <c r="B9" s="37"/>
      <c r="C9" s="193">
        <v>1</v>
      </c>
      <c r="D9" s="185" t="s">
        <v>1013</v>
      </c>
      <c r="E9" s="190">
        <f>G9+I9+K9</f>
        <v>10549</v>
      </c>
      <c r="F9" s="191">
        <f>H9+J9+L9</f>
        <v>10549</v>
      </c>
      <c r="G9" s="192"/>
      <c r="H9" s="191">
        <f>INT(G9*C9)</f>
        <v>0</v>
      </c>
      <c r="I9" s="192"/>
      <c r="J9" s="191">
        <f>INT(I9*C9)</f>
        <v>0</v>
      </c>
      <c r="K9" s="192">
        <f>구역화물!G4</f>
        <v>10549</v>
      </c>
      <c r="L9" s="191">
        <f>INT(K9*C9)</f>
        <v>10549</v>
      </c>
    </row>
    <row r="10" spans="1:12" ht="13.5" customHeight="1">
      <c r="A10" s="20" t="s">
        <v>617</v>
      </c>
      <c r="B10" s="195"/>
      <c r="C10" s="123"/>
      <c r="D10" s="57"/>
      <c r="E10" s="438"/>
      <c r="F10" s="199">
        <f>H10+J10+L10</f>
        <v>115909</v>
      </c>
      <c r="G10" s="204"/>
      <c r="H10" s="199">
        <f>SUM(H5:H9)</f>
        <v>28870</v>
      </c>
      <c r="I10" s="204"/>
      <c r="J10" s="199">
        <f>SUM(J5:J9)</f>
        <v>76345</v>
      </c>
      <c r="K10" s="204"/>
      <c r="L10" s="199">
        <f>SUM(L5:L9)</f>
        <v>10694</v>
      </c>
    </row>
    <row r="11" spans="1:12" ht="13.5" customHeight="1">
      <c r="A11" s="20"/>
      <c r="B11" s="127"/>
      <c r="C11" s="21"/>
      <c r="D11" s="58"/>
      <c r="E11" s="181">
        <f>E4+1</f>
        <v>2</v>
      </c>
      <c r="F11" s="198" t="s">
        <v>494</v>
      </c>
      <c r="G11" s="198"/>
      <c r="H11" s="198"/>
      <c r="I11" s="198"/>
      <c r="J11" s="198" t="s">
        <v>517</v>
      </c>
      <c r="K11" s="198"/>
      <c r="L11" s="199"/>
    </row>
    <row r="12" spans="1:12" ht="13.5" customHeight="1">
      <c r="A12" s="183" t="s">
        <v>491</v>
      </c>
      <c r="B12" s="42"/>
      <c r="C12" s="193">
        <v>1</v>
      </c>
      <c r="D12" s="185" t="s">
        <v>989</v>
      </c>
      <c r="E12" s="192" t="s">
        <v>99</v>
      </c>
      <c r="F12" s="191">
        <f>H12+J12+L12</f>
        <v>0</v>
      </c>
      <c r="G12" s="192"/>
      <c r="H12" s="191">
        <f>INT(G12*C12)</f>
        <v>0</v>
      </c>
      <c r="I12" s="192"/>
      <c r="J12" s="191">
        <f>INT(I12*C12)</f>
        <v>0</v>
      </c>
      <c r="K12" s="192"/>
      <c r="L12" s="191">
        <f>INT(K12*C12)</f>
        <v>0</v>
      </c>
    </row>
    <row r="13" spans="1:12" ht="13.5" customHeight="1">
      <c r="A13" s="11" t="s">
        <v>518</v>
      </c>
      <c r="B13" s="189" t="s">
        <v>1360</v>
      </c>
      <c r="C13" s="201">
        <f>자재작업량!F25</f>
        <v>0.06</v>
      </c>
      <c r="D13" s="121" t="s">
        <v>1328</v>
      </c>
      <c r="E13" s="202">
        <f t="shared" ref="E13:F15" si="1">G13+I13+K13</f>
        <v>172068</v>
      </c>
      <c r="F13" s="203">
        <f t="shared" si="1"/>
        <v>10324</v>
      </c>
      <c r="G13" s="202">
        <f>노임!D14</f>
        <v>172068</v>
      </c>
      <c r="H13" s="203">
        <f>INT(G13*C13)</f>
        <v>10324</v>
      </c>
      <c r="I13" s="202"/>
      <c r="J13" s="203">
        <f>INT(I13*C13)</f>
        <v>0</v>
      </c>
      <c r="K13" s="202"/>
      <c r="L13" s="203">
        <f>INT(K13*C13)</f>
        <v>0</v>
      </c>
    </row>
    <row r="14" spans="1:12" ht="13.5" customHeight="1">
      <c r="A14" s="183" t="s">
        <v>492</v>
      </c>
      <c r="B14" s="42" t="s">
        <v>614</v>
      </c>
      <c r="C14" s="193">
        <v>1</v>
      </c>
      <c r="D14" s="185" t="s">
        <v>1013</v>
      </c>
      <c r="E14" s="192">
        <f t="shared" si="1"/>
        <v>8433</v>
      </c>
      <c r="F14" s="191">
        <f t="shared" si="1"/>
        <v>8433</v>
      </c>
      <c r="G14" s="192">
        <f>자재단위당!H5</f>
        <v>8223</v>
      </c>
      <c r="H14" s="191">
        <f>INT(G14*C14)</f>
        <v>8223</v>
      </c>
      <c r="I14" s="192">
        <f>자재단위당!I5</f>
        <v>65</v>
      </c>
      <c r="J14" s="191">
        <f>INT(I14*C14)</f>
        <v>65</v>
      </c>
      <c r="K14" s="192">
        <f>자재단위당!J5</f>
        <v>145</v>
      </c>
      <c r="L14" s="191">
        <f>INT(K14*C14)</f>
        <v>145</v>
      </c>
    </row>
    <row r="15" spans="1:12" ht="13.5" customHeight="1">
      <c r="A15" s="183" t="s">
        <v>493</v>
      </c>
      <c r="B15" s="189" t="s">
        <v>1360</v>
      </c>
      <c r="C15" s="193">
        <f>자재작업량!F34</f>
        <v>0.04</v>
      </c>
      <c r="D15" s="185" t="s">
        <v>1328</v>
      </c>
      <c r="E15" s="192">
        <f t="shared" si="1"/>
        <v>172068</v>
      </c>
      <c r="F15" s="191">
        <f t="shared" si="1"/>
        <v>6882</v>
      </c>
      <c r="G15" s="192">
        <f>노임!D14</f>
        <v>172068</v>
      </c>
      <c r="H15" s="191">
        <f>INT(G15*C15)</f>
        <v>6882</v>
      </c>
      <c r="I15" s="192"/>
      <c r="J15" s="191">
        <f>INT(I15*C15)</f>
        <v>0</v>
      </c>
      <c r="K15" s="192"/>
      <c r="L15" s="191">
        <f>INT(K15*C15)</f>
        <v>0</v>
      </c>
    </row>
    <row r="16" spans="1:12" ht="13.5" customHeight="1">
      <c r="A16" s="20" t="s">
        <v>617</v>
      </c>
      <c r="B16" s="195"/>
      <c r="C16" s="123"/>
      <c r="D16" s="57"/>
      <c r="E16" s="204"/>
      <c r="F16" s="199">
        <f>H16+J16+L16</f>
        <v>25639</v>
      </c>
      <c r="G16" s="204"/>
      <c r="H16" s="199">
        <f>SUM(H13:H15)</f>
        <v>25429</v>
      </c>
      <c r="I16" s="204"/>
      <c r="J16" s="199">
        <f>SUM(J13:J15)</f>
        <v>65</v>
      </c>
      <c r="K16" s="204"/>
      <c r="L16" s="199">
        <f>SUM(L13:L15)</f>
        <v>145</v>
      </c>
    </row>
    <row r="17" spans="1:12" ht="13.5" customHeight="1">
      <c r="A17" s="20"/>
      <c r="B17" s="127"/>
      <c r="C17" s="21"/>
      <c r="D17" s="58"/>
      <c r="E17" s="181">
        <f>E11+1</f>
        <v>3</v>
      </c>
      <c r="F17" s="198" t="s">
        <v>495</v>
      </c>
      <c r="G17" s="198"/>
      <c r="H17" s="198"/>
      <c r="I17" s="198"/>
      <c r="J17" s="198" t="s">
        <v>519</v>
      </c>
      <c r="K17" s="198"/>
      <c r="L17" s="199"/>
    </row>
    <row r="18" spans="1:12" ht="13.5" customHeight="1">
      <c r="A18" s="183" t="s">
        <v>491</v>
      </c>
      <c r="B18" s="42"/>
      <c r="C18" s="193">
        <v>1</v>
      </c>
      <c r="D18" s="185" t="s">
        <v>1120</v>
      </c>
      <c r="E18" s="192">
        <f>G18+I18+K18</f>
        <v>5753</v>
      </c>
      <c r="F18" s="191">
        <f>H18+J18+L18</f>
        <v>5753</v>
      </c>
      <c r="G18" s="192"/>
      <c r="H18" s="191"/>
      <c r="I18" s="192"/>
      <c r="J18" s="191"/>
      <c r="K18" s="192">
        <f>구역화물!G6</f>
        <v>5753</v>
      </c>
      <c r="L18" s="191">
        <f>INT(K18*C18)</f>
        <v>5753</v>
      </c>
    </row>
    <row r="19" spans="1:12" ht="13.5" customHeight="1">
      <c r="A19" s="11" t="s">
        <v>518</v>
      </c>
      <c r="B19" s="189" t="s">
        <v>1360</v>
      </c>
      <c r="C19" s="194">
        <f>자재작업량!F42</f>
        <v>0.02</v>
      </c>
      <c r="D19" s="185" t="s">
        <v>1328</v>
      </c>
      <c r="E19" s="192">
        <f t="shared" ref="E19:F21" si="2">G19+I19+K19</f>
        <v>172068</v>
      </c>
      <c r="F19" s="191">
        <f t="shared" si="2"/>
        <v>3441</v>
      </c>
      <c r="G19" s="192">
        <f>노임!D14</f>
        <v>172068</v>
      </c>
      <c r="H19" s="191">
        <f>INT(G19*C19)</f>
        <v>3441</v>
      </c>
      <c r="I19" s="192"/>
      <c r="J19" s="191">
        <f>INT(I19*C19)</f>
        <v>0</v>
      </c>
      <c r="K19" s="192"/>
      <c r="L19" s="191">
        <f>INT(K19*C19)</f>
        <v>0</v>
      </c>
    </row>
    <row r="20" spans="1:12" ht="13.5" customHeight="1">
      <c r="A20" s="183" t="s">
        <v>492</v>
      </c>
      <c r="B20" s="42" t="s">
        <v>614</v>
      </c>
      <c r="C20" s="193">
        <v>1</v>
      </c>
      <c r="D20" s="185" t="s">
        <v>1014</v>
      </c>
      <c r="E20" s="192">
        <f t="shared" si="2"/>
        <v>4908</v>
      </c>
      <c r="F20" s="191">
        <f t="shared" si="2"/>
        <v>4908</v>
      </c>
      <c r="G20" s="192">
        <f>자재단위당!H6</f>
        <v>4786</v>
      </c>
      <c r="H20" s="191">
        <f>INT(G20*C20)</f>
        <v>4786</v>
      </c>
      <c r="I20" s="192">
        <f>자재단위당!I6</f>
        <v>38</v>
      </c>
      <c r="J20" s="191">
        <f>INT(I20*C20)</f>
        <v>38</v>
      </c>
      <c r="K20" s="192">
        <f>자재단위당!J6</f>
        <v>84</v>
      </c>
      <c r="L20" s="191">
        <f>INT(K20*C20)</f>
        <v>84</v>
      </c>
    </row>
    <row r="21" spans="1:12" ht="13.5" customHeight="1">
      <c r="A21" s="183" t="s">
        <v>493</v>
      </c>
      <c r="B21" s="189" t="s">
        <v>1360</v>
      </c>
      <c r="C21" s="205">
        <f>자재작업량!F52</f>
        <v>0.02</v>
      </c>
      <c r="D21" s="206" t="s">
        <v>1328</v>
      </c>
      <c r="E21" s="207">
        <f t="shared" si="2"/>
        <v>172068</v>
      </c>
      <c r="F21" s="208">
        <f t="shared" si="2"/>
        <v>3441</v>
      </c>
      <c r="G21" s="207">
        <f>노임!D14</f>
        <v>172068</v>
      </c>
      <c r="H21" s="208">
        <f>INT(G21*C21)</f>
        <v>3441</v>
      </c>
      <c r="I21" s="207">
        <v>0</v>
      </c>
      <c r="J21" s="208">
        <f>INT(I21*C21)</f>
        <v>0</v>
      </c>
      <c r="K21" s="207">
        <v>0</v>
      </c>
      <c r="L21" s="208">
        <f>INT(K21*C21)</f>
        <v>0</v>
      </c>
    </row>
    <row r="22" spans="1:12" ht="13.5" customHeight="1">
      <c r="A22" s="20" t="s">
        <v>617</v>
      </c>
      <c r="B22" s="195"/>
      <c r="C22" s="123"/>
      <c r="D22" s="57"/>
      <c r="E22" s="204"/>
      <c r="F22" s="199">
        <f>H22+J22+L22</f>
        <v>17543</v>
      </c>
      <c r="G22" s="204"/>
      <c r="H22" s="199">
        <f>SUM(H18:H21)</f>
        <v>11668</v>
      </c>
      <c r="I22" s="204"/>
      <c r="J22" s="199">
        <f>SUM(J18:J21)</f>
        <v>38</v>
      </c>
      <c r="K22" s="204"/>
      <c r="L22" s="199">
        <f>SUM(L18:L21)</f>
        <v>5837</v>
      </c>
    </row>
    <row r="23" spans="1:12" ht="13.5" customHeight="1">
      <c r="A23" s="20"/>
      <c r="B23" s="127"/>
      <c r="C23" s="21"/>
      <c r="D23" s="58"/>
      <c r="E23" s="181">
        <f>E17+1</f>
        <v>4</v>
      </c>
      <c r="F23" s="198" t="s">
        <v>100</v>
      </c>
      <c r="G23" s="198"/>
      <c r="H23" s="198"/>
      <c r="I23" s="198"/>
      <c r="J23" s="198" t="s">
        <v>517</v>
      </c>
      <c r="K23" s="198"/>
      <c r="L23" s="199"/>
    </row>
    <row r="24" spans="1:12" ht="13.5" customHeight="1">
      <c r="A24" s="183" t="s">
        <v>491</v>
      </c>
      <c r="B24" s="42"/>
      <c r="C24" s="193">
        <v>1</v>
      </c>
      <c r="D24" s="185" t="s">
        <v>989</v>
      </c>
      <c r="E24" s="192">
        <f>G24+I24+K24</f>
        <v>8369</v>
      </c>
      <c r="F24" s="191">
        <f>H24+J24+L24</f>
        <v>8369</v>
      </c>
      <c r="G24" s="192"/>
      <c r="H24" s="191">
        <f>INT(G24*C24)</f>
        <v>0</v>
      </c>
      <c r="I24" s="192"/>
      <c r="J24" s="191">
        <f>INT(I24*C24)</f>
        <v>0</v>
      </c>
      <c r="K24" s="192">
        <f>구역화물!G7</f>
        <v>8369</v>
      </c>
      <c r="L24" s="191">
        <f>INT(K24*C24)</f>
        <v>8369</v>
      </c>
    </row>
    <row r="25" spans="1:12" ht="13.5" customHeight="1">
      <c r="A25" s="11" t="s">
        <v>518</v>
      </c>
      <c r="B25" s="189" t="s">
        <v>1360</v>
      </c>
      <c r="C25" s="193">
        <f>자재작업량!F59</f>
        <v>0.05</v>
      </c>
      <c r="D25" s="185" t="s">
        <v>1328</v>
      </c>
      <c r="E25" s="192">
        <f t="shared" ref="E25:F27" si="3">G25+I25+K25</f>
        <v>172068</v>
      </c>
      <c r="F25" s="191">
        <f t="shared" si="3"/>
        <v>8603</v>
      </c>
      <c r="G25" s="192">
        <f>노임!D14</f>
        <v>172068</v>
      </c>
      <c r="H25" s="191">
        <f>INT(G25*C25)</f>
        <v>8603</v>
      </c>
      <c r="I25" s="192"/>
      <c r="J25" s="191">
        <f>INT(I25*C25)</f>
        <v>0</v>
      </c>
      <c r="K25" s="192"/>
      <c r="L25" s="191">
        <f>INT(K25*C25)</f>
        <v>0</v>
      </c>
    </row>
    <row r="26" spans="1:12" ht="13.5" customHeight="1">
      <c r="A26" s="183" t="s">
        <v>492</v>
      </c>
      <c r="B26" s="42" t="s">
        <v>614</v>
      </c>
      <c r="C26" s="193">
        <v>1</v>
      </c>
      <c r="D26" s="185" t="s">
        <v>1013</v>
      </c>
      <c r="E26" s="192">
        <f t="shared" si="3"/>
        <v>8433</v>
      </c>
      <c r="F26" s="191">
        <f t="shared" si="3"/>
        <v>8433</v>
      </c>
      <c r="G26" s="192">
        <f>자재단위당!H7</f>
        <v>8223</v>
      </c>
      <c r="H26" s="191">
        <f>INT(G26*C26)</f>
        <v>8223</v>
      </c>
      <c r="I26" s="192">
        <f>자재단위당!I7</f>
        <v>65</v>
      </c>
      <c r="J26" s="191">
        <f>INT(I26*C26)</f>
        <v>65</v>
      </c>
      <c r="K26" s="192">
        <f>자재단위당!J7</f>
        <v>145</v>
      </c>
      <c r="L26" s="191">
        <f>INT(K26*C26)</f>
        <v>145</v>
      </c>
    </row>
    <row r="27" spans="1:12" ht="13.5" customHeight="1">
      <c r="A27" s="183" t="s">
        <v>493</v>
      </c>
      <c r="B27" s="189" t="s">
        <v>1360</v>
      </c>
      <c r="C27" s="193">
        <f>자재작업량!E70</f>
        <v>0.04</v>
      </c>
      <c r="D27" s="185" t="s">
        <v>1328</v>
      </c>
      <c r="E27" s="192">
        <f t="shared" si="3"/>
        <v>172068</v>
      </c>
      <c r="F27" s="191">
        <f t="shared" si="3"/>
        <v>6882</v>
      </c>
      <c r="G27" s="192">
        <f>노임!D14</f>
        <v>172068</v>
      </c>
      <c r="H27" s="191">
        <f>INT(G27*C27)</f>
        <v>6882</v>
      </c>
      <c r="I27" s="192">
        <v>0</v>
      </c>
      <c r="J27" s="191">
        <f>INT(I27*C27)</f>
        <v>0</v>
      </c>
      <c r="K27" s="192">
        <v>0</v>
      </c>
      <c r="L27" s="191">
        <f>INT(K27*C27)</f>
        <v>0</v>
      </c>
    </row>
    <row r="28" spans="1:12" ht="13.5" customHeight="1">
      <c r="A28" s="20" t="s">
        <v>617</v>
      </c>
      <c r="B28" s="195"/>
      <c r="C28" s="123"/>
      <c r="D28" s="57"/>
      <c r="E28" s="204"/>
      <c r="F28" s="199">
        <f>H28+J28+L28</f>
        <v>32287</v>
      </c>
      <c r="G28" s="204"/>
      <c r="H28" s="199">
        <f>SUM(H24:H27)</f>
        <v>23708</v>
      </c>
      <c r="I28" s="204"/>
      <c r="J28" s="199">
        <f>SUM(J24:J27)</f>
        <v>65</v>
      </c>
      <c r="K28" s="204"/>
      <c r="L28" s="199">
        <f>SUM(L24:L27)</f>
        <v>8514</v>
      </c>
    </row>
    <row r="29" spans="1:12" ht="13.5" customHeight="1">
      <c r="A29" s="20"/>
      <c r="B29" s="127"/>
      <c r="C29" s="21"/>
      <c r="D29" s="58"/>
      <c r="E29" s="181">
        <f>E23+1</f>
        <v>5</v>
      </c>
      <c r="F29" s="198" t="s">
        <v>101</v>
      </c>
      <c r="G29" s="198"/>
      <c r="H29" s="198"/>
      <c r="I29" s="198"/>
      <c r="J29" s="198" t="s">
        <v>517</v>
      </c>
      <c r="K29" s="198"/>
      <c r="L29" s="199"/>
    </row>
    <row r="30" spans="1:12" ht="13.5" customHeight="1">
      <c r="A30" s="183" t="s">
        <v>491</v>
      </c>
      <c r="B30" s="42"/>
      <c r="C30" s="193">
        <v>1</v>
      </c>
      <c r="D30" s="185" t="s">
        <v>989</v>
      </c>
      <c r="E30" s="192">
        <f t="shared" ref="E30:F33" si="4">G30+I30+K30</f>
        <v>20430</v>
      </c>
      <c r="F30" s="191">
        <f t="shared" si="4"/>
        <v>20430</v>
      </c>
      <c r="G30" s="192"/>
      <c r="H30" s="191">
        <f>INT(G30*C30)</f>
        <v>0</v>
      </c>
      <c r="I30" s="192"/>
      <c r="J30" s="191">
        <f>INT(I30*C30)</f>
        <v>0</v>
      </c>
      <c r="K30" s="192">
        <f>구역화물!G8</f>
        <v>20430</v>
      </c>
      <c r="L30" s="191">
        <f>INT(K30*C30)</f>
        <v>20430</v>
      </c>
    </row>
    <row r="31" spans="1:12" ht="13.5" customHeight="1">
      <c r="A31" s="11" t="s">
        <v>518</v>
      </c>
      <c r="B31" s="189" t="s">
        <v>1360</v>
      </c>
      <c r="C31" s="193">
        <f>자재작업량!F59</f>
        <v>0.05</v>
      </c>
      <c r="D31" s="185" t="s">
        <v>1328</v>
      </c>
      <c r="E31" s="192">
        <f t="shared" si="4"/>
        <v>172068</v>
      </c>
      <c r="F31" s="191">
        <f t="shared" si="4"/>
        <v>8603</v>
      </c>
      <c r="G31" s="192">
        <f>노임!D14</f>
        <v>172068</v>
      </c>
      <c r="H31" s="191">
        <f>INT(G31*C31)</f>
        <v>8603</v>
      </c>
      <c r="I31" s="192"/>
      <c r="J31" s="191">
        <f>INT(I31*C31)</f>
        <v>0</v>
      </c>
      <c r="K31" s="192"/>
      <c r="L31" s="191">
        <f>INT(K31*C31)</f>
        <v>0</v>
      </c>
    </row>
    <row r="32" spans="1:12" ht="13.5" customHeight="1">
      <c r="A32" s="183" t="s">
        <v>492</v>
      </c>
      <c r="B32" s="42" t="s">
        <v>614</v>
      </c>
      <c r="C32" s="193">
        <v>1</v>
      </c>
      <c r="D32" s="185" t="s">
        <v>1013</v>
      </c>
      <c r="E32" s="192">
        <f t="shared" si="4"/>
        <v>8433</v>
      </c>
      <c r="F32" s="191">
        <f t="shared" si="4"/>
        <v>8433</v>
      </c>
      <c r="G32" s="192">
        <f>자재단위당!H7</f>
        <v>8223</v>
      </c>
      <c r="H32" s="191">
        <f>INT(G32*C32)</f>
        <v>8223</v>
      </c>
      <c r="I32" s="192">
        <f>자재단위당!I7</f>
        <v>65</v>
      </c>
      <c r="J32" s="191">
        <f>INT(I32*C32)</f>
        <v>65</v>
      </c>
      <c r="K32" s="192">
        <f>자재단위당!J7</f>
        <v>145</v>
      </c>
      <c r="L32" s="191">
        <f>INT(K32*C32)</f>
        <v>145</v>
      </c>
    </row>
    <row r="33" spans="1:12" ht="13.5" customHeight="1">
      <c r="A33" s="183" t="s">
        <v>493</v>
      </c>
      <c r="B33" s="42" t="s">
        <v>1360</v>
      </c>
      <c r="C33" s="193">
        <f>자재작업량!E70</f>
        <v>0.04</v>
      </c>
      <c r="D33" s="185" t="s">
        <v>1328</v>
      </c>
      <c r="E33" s="192">
        <f t="shared" si="4"/>
        <v>172068</v>
      </c>
      <c r="F33" s="191">
        <f t="shared" si="4"/>
        <v>6882</v>
      </c>
      <c r="G33" s="192">
        <f>노임!D14</f>
        <v>172068</v>
      </c>
      <c r="H33" s="191">
        <f>INT(G33*C33)</f>
        <v>6882</v>
      </c>
      <c r="I33" s="192"/>
      <c r="J33" s="191">
        <f>INT(I33*C33)</f>
        <v>0</v>
      </c>
      <c r="K33" s="192"/>
      <c r="L33" s="191">
        <f>INT(K33*C33)</f>
        <v>0</v>
      </c>
    </row>
    <row r="34" spans="1:12" ht="13.5" customHeight="1">
      <c r="A34" s="20" t="s">
        <v>617</v>
      </c>
      <c r="B34" s="195"/>
      <c r="C34" s="123"/>
      <c r="D34" s="57"/>
      <c r="E34" s="204"/>
      <c r="F34" s="199">
        <f>H34+J34+L34</f>
        <v>44348</v>
      </c>
      <c r="G34" s="204"/>
      <c r="H34" s="199">
        <f>SUM(H30:H33)</f>
        <v>23708</v>
      </c>
      <c r="I34" s="204"/>
      <c r="J34" s="199">
        <f>SUM(J30:J33)</f>
        <v>65</v>
      </c>
      <c r="K34" s="204"/>
      <c r="L34" s="199">
        <f>SUM(L30:L33)</f>
        <v>20575</v>
      </c>
    </row>
    <row r="35" spans="1:12" ht="13.5" customHeight="1">
      <c r="A35" s="20"/>
      <c r="B35" s="127"/>
      <c r="C35" s="21"/>
      <c r="D35" s="58"/>
      <c r="E35" s="181">
        <f>E29+1</f>
        <v>6</v>
      </c>
      <c r="F35" s="198" t="s">
        <v>496</v>
      </c>
      <c r="G35" s="198"/>
      <c r="H35" s="198"/>
      <c r="I35" s="198"/>
      <c r="J35" s="198" t="s">
        <v>517</v>
      </c>
      <c r="K35" s="198"/>
      <c r="L35" s="199"/>
    </row>
    <row r="36" spans="1:12" ht="13.5" customHeight="1">
      <c r="A36" s="11" t="s">
        <v>497</v>
      </c>
      <c r="B36" s="189" t="s">
        <v>498</v>
      </c>
      <c r="C36" s="110">
        <v>1</v>
      </c>
      <c r="D36" s="121" t="s">
        <v>1013</v>
      </c>
      <c r="E36" s="202">
        <f t="shared" ref="E36:F39" si="5">G36+I36+K36</f>
        <v>6980</v>
      </c>
      <c r="F36" s="203">
        <f t="shared" si="5"/>
        <v>6980</v>
      </c>
      <c r="G36" s="202">
        <f>자재단위당!H8</f>
        <v>3649</v>
      </c>
      <c r="H36" s="203">
        <f>INT(G36*C36)</f>
        <v>3649</v>
      </c>
      <c r="I36" s="202">
        <f>자재단위당!I8</f>
        <v>2144</v>
      </c>
      <c r="J36" s="203">
        <f>INT(I36*C36)</f>
        <v>2144</v>
      </c>
      <c r="K36" s="202">
        <f>자재단위당!J8</f>
        <v>1187</v>
      </c>
      <c r="L36" s="203">
        <f>INT(K36*C36)</f>
        <v>1187</v>
      </c>
    </row>
    <row r="37" spans="1:12" ht="13.5" customHeight="1">
      <c r="A37" s="183" t="s">
        <v>492</v>
      </c>
      <c r="B37" s="42" t="s">
        <v>614</v>
      </c>
      <c r="C37" s="193">
        <v>1</v>
      </c>
      <c r="D37" s="185" t="s">
        <v>1399</v>
      </c>
      <c r="E37" s="192">
        <f t="shared" si="5"/>
        <v>8433</v>
      </c>
      <c r="F37" s="191">
        <f t="shared" si="5"/>
        <v>8433</v>
      </c>
      <c r="G37" s="192">
        <f>자재단위당!H9</f>
        <v>8223</v>
      </c>
      <c r="H37" s="191">
        <f>INT(G37*C37)</f>
        <v>8223</v>
      </c>
      <c r="I37" s="192">
        <f>자재단위당!I9</f>
        <v>65</v>
      </c>
      <c r="J37" s="191">
        <f>INT(I37*C37)</f>
        <v>65</v>
      </c>
      <c r="K37" s="192">
        <f>자재단위당!J9</f>
        <v>145</v>
      </c>
      <c r="L37" s="191">
        <f>INT(K37*C37)</f>
        <v>145</v>
      </c>
    </row>
    <row r="38" spans="1:12" ht="13.5" customHeight="1">
      <c r="A38" s="183" t="s">
        <v>493</v>
      </c>
      <c r="B38" s="189" t="s">
        <v>1360</v>
      </c>
      <c r="C38" s="194">
        <f>자재작업량!F96</f>
        <v>0.04</v>
      </c>
      <c r="D38" s="185" t="s">
        <v>1328</v>
      </c>
      <c r="E38" s="192">
        <f t="shared" si="5"/>
        <v>172068</v>
      </c>
      <c r="F38" s="191">
        <f t="shared" si="5"/>
        <v>6882</v>
      </c>
      <c r="G38" s="192">
        <f>노임!D14</f>
        <v>172068</v>
      </c>
      <c r="H38" s="191">
        <f>INT(G38*C38)</f>
        <v>6882</v>
      </c>
      <c r="I38" s="192">
        <v>0</v>
      </c>
      <c r="J38" s="191">
        <f>INT(I38*C38)</f>
        <v>0</v>
      </c>
      <c r="K38" s="192">
        <v>0</v>
      </c>
      <c r="L38" s="191">
        <f>INT(K38*C38)</f>
        <v>0</v>
      </c>
    </row>
    <row r="39" spans="1:12" ht="13.5" customHeight="1">
      <c r="A39" s="183" t="s">
        <v>520</v>
      </c>
      <c r="B39" s="42" t="str">
        <f>자재!F240&amp;"/"&amp;"1.400"</f>
        <v>17000/1.400</v>
      </c>
      <c r="C39" s="193">
        <v>1</v>
      </c>
      <c r="D39" s="185" t="s">
        <v>1013</v>
      </c>
      <c r="E39" s="192">
        <f t="shared" si="5"/>
        <v>12142</v>
      </c>
      <c r="F39" s="191">
        <f t="shared" si="5"/>
        <v>12142</v>
      </c>
      <c r="G39" s="192"/>
      <c r="H39" s="191">
        <f>INT(G39*C39)</f>
        <v>0</v>
      </c>
      <c r="I39" s="192">
        <f>INT(자재!F240/1.4)</f>
        <v>12142</v>
      </c>
      <c r="J39" s="191">
        <f>INT(I39*C39)</f>
        <v>12142</v>
      </c>
      <c r="K39" s="192">
        <v>0</v>
      </c>
      <c r="L39" s="191">
        <f>INT(K39*C39)</f>
        <v>0</v>
      </c>
    </row>
    <row r="40" spans="1:12" ht="13.5" customHeight="1">
      <c r="A40" s="11" t="s">
        <v>617</v>
      </c>
      <c r="B40" s="189"/>
      <c r="C40" s="110"/>
      <c r="D40" s="121"/>
      <c r="E40" s="202"/>
      <c r="F40" s="203">
        <f>H40+J40+L40</f>
        <v>34437</v>
      </c>
      <c r="G40" s="202"/>
      <c r="H40" s="203">
        <f>SUM(H36:H39)</f>
        <v>18754</v>
      </c>
      <c r="I40" s="202"/>
      <c r="J40" s="203">
        <f>SUM(J36:J39)</f>
        <v>14351</v>
      </c>
      <c r="K40" s="202"/>
      <c r="L40" s="203">
        <f>SUM(L36:L39)</f>
        <v>1332</v>
      </c>
    </row>
    <row r="41" spans="1:12" ht="13.5" customHeight="1">
      <c r="A41" s="209"/>
      <c r="B41" s="210"/>
      <c r="C41" s="95"/>
      <c r="D41" s="211"/>
      <c r="E41" s="212">
        <f>E35+1</f>
        <v>7</v>
      </c>
      <c r="F41" s="213" t="s">
        <v>499</v>
      </c>
      <c r="G41" s="213"/>
      <c r="H41" s="213"/>
      <c r="I41" s="213"/>
      <c r="J41" s="213" t="s">
        <v>517</v>
      </c>
      <c r="K41" s="213"/>
      <c r="L41" s="214"/>
    </row>
    <row r="42" spans="1:12" ht="13.5" customHeight="1">
      <c r="A42" s="11" t="s">
        <v>497</v>
      </c>
      <c r="B42" s="189" t="s">
        <v>498</v>
      </c>
      <c r="C42" s="110">
        <v>1</v>
      </c>
      <c r="D42" s="121" t="s">
        <v>1013</v>
      </c>
      <c r="E42" s="202">
        <f t="shared" ref="E42:F45" si="6">G42+I42+K42</f>
        <v>3994</v>
      </c>
      <c r="F42" s="203">
        <f t="shared" si="6"/>
        <v>3994</v>
      </c>
      <c r="G42" s="202">
        <f>자재단위당!H10</f>
        <v>2088</v>
      </c>
      <c r="H42" s="203">
        <f>INT(G42*C42)</f>
        <v>2088</v>
      </c>
      <c r="I42" s="202">
        <f>자재단위당!I10</f>
        <v>1227</v>
      </c>
      <c r="J42" s="203">
        <f>자재단위당!I10</f>
        <v>1227</v>
      </c>
      <c r="K42" s="202">
        <f>자재단위당!J10</f>
        <v>679</v>
      </c>
      <c r="L42" s="203">
        <f>INT(K42*C42)</f>
        <v>679</v>
      </c>
    </row>
    <row r="43" spans="1:12" ht="13.5" customHeight="1">
      <c r="A43" s="183" t="s">
        <v>492</v>
      </c>
      <c r="B43" s="42" t="s">
        <v>614</v>
      </c>
      <c r="C43" s="193">
        <v>1</v>
      </c>
      <c r="D43" s="185" t="s">
        <v>1399</v>
      </c>
      <c r="E43" s="192">
        <f t="shared" si="6"/>
        <v>9779</v>
      </c>
      <c r="F43" s="191">
        <f t="shared" si="6"/>
        <v>9779</v>
      </c>
      <c r="G43" s="192">
        <f>자재단위당!H11</f>
        <v>9546</v>
      </c>
      <c r="H43" s="191">
        <f>INT(G43*C43)</f>
        <v>9546</v>
      </c>
      <c r="I43" s="192">
        <f>자재단위당!I11</f>
        <v>65</v>
      </c>
      <c r="J43" s="191">
        <f>INT(I43*C43)</f>
        <v>65</v>
      </c>
      <c r="K43" s="192">
        <f>자재단위당!J11</f>
        <v>168</v>
      </c>
      <c r="L43" s="191">
        <f>INT(K43*C43)</f>
        <v>168</v>
      </c>
    </row>
    <row r="44" spans="1:12" ht="13.5" customHeight="1">
      <c r="A44" s="183" t="s">
        <v>493</v>
      </c>
      <c r="B44" s="189" t="s">
        <v>1360</v>
      </c>
      <c r="C44" s="193">
        <f>자재작업량!I122</f>
        <v>0.05</v>
      </c>
      <c r="D44" s="185" t="s">
        <v>1328</v>
      </c>
      <c r="E44" s="192">
        <f t="shared" si="6"/>
        <v>172068</v>
      </c>
      <c r="F44" s="191">
        <f t="shared" si="6"/>
        <v>8603</v>
      </c>
      <c r="G44" s="192">
        <f>노임!D14</f>
        <v>172068</v>
      </c>
      <c r="H44" s="191">
        <f>INT(G44*C44)</f>
        <v>8603</v>
      </c>
      <c r="I44" s="192"/>
      <c r="J44" s="191">
        <f>INT(I44*C44)</f>
        <v>0</v>
      </c>
      <c r="K44" s="192"/>
      <c r="L44" s="191">
        <f>INT(K44*C44)</f>
        <v>0</v>
      </c>
    </row>
    <row r="45" spans="1:12" ht="13.5" customHeight="1">
      <c r="A45" s="183" t="s">
        <v>520</v>
      </c>
      <c r="B45" s="42" t="str">
        <f>자재!F242&amp;"/"&amp;"1.500"</f>
        <v>13000/1.500</v>
      </c>
      <c r="C45" s="193">
        <v>1</v>
      </c>
      <c r="D45" s="185" t="s">
        <v>1013</v>
      </c>
      <c r="E45" s="192">
        <f t="shared" si="6"/>
        <v>8666.6666666666661</v>
      </c>
      <c r="F45" s="191">
        <f t="shared" si="6"/>
        <v>8666</v>
      </c>
      <c r="G45" s="192"/>
      <c r="H45" s="191">
        <f>INT(G45*C45)</f>
        <v>0</v>
      </c>
      <c r="I45" s="192">
        <f>자재!F242/1.5</f>
        <v>8666.6666666666661</v>
      </c>
      <c r="J45" s="191">
        <f>INT(I45*C45)</f>
        <v>8666</v>
      </c>
      <c r="K45" s="192">
        <v>0</v>
      </c>
      <c r="L45" s="191">
        <f>INT(K45*C45)</f>
        <v>0</v>
      </c>
    </row>
    <row r="46" spans="1:12" ht="13.5" customHeight="1">
      <c r="A46" s="20" t="s">
        <v>617</v>
      </c>
      <c r="B46" s="195"/>
      <c r="C46" s="123"/>
      <c r="D46" s="57"/>
      <c r="E46" s="204"/>
      <c r="F46" s="199">
        <f>H46+J46+L46</f>
        <v>31042</v>
      </c>
      <c r="G46" s="204"/>
      <c r="H46" s="199">
        <f>SUM(H42:H45)</f>
        <v>20237</v>
      </c>
      <c r="I46" s="204"/>
      <c r="J46" s="199">
        <f>SUM(J42:J45)</f>
        <v>9958</v>
      </c>
      <c r="K46" s="204"/>
      <c r="L46" s="199">
        <f>SUM(L42:L45)</f>
        <v>847</v>
      </c>
    </row>
    <row r="47" spans="1:12" ht="13.5" customHeight="1">
      <c r="A47" s="20"/>
      <c r="B47" s="127"/>
      <c r="C47" s="21"/>
      <c r="D47" s="58"/>
      <c r="E47" s="181">
        <f>E41+1</f>
        <v>8</v>
      </c>
      <c r="F47" s="198" t="s">
        <v>2105</v>
      </c>
      <c r="G47" s="198"/>
      <c r="H47" s="198"/>
      <c r="I47" s="198"/>
      <c r="J47" s="198" t="s">
        <v>519</v>
      </c>
      <c r="K47" s="198"/>
      <c r="L47" s="199"/>
    </row>
    <row r="48" spans="1:12" ht="13.5" customHeight="1">
      <c r="A48" s="11" t="s">
        <v>497</v>
      </c>
      <c r="B48" s="189" t="s">
        <v>498</v>
      </c>
      <c r="C48" s="110">
        <v>1</v>
      </c>
      <c r="D48" s="121" t="s">
        <v>1014</v>
      </c>
      <c r="E48" s="202">
        <f t="shared" ref="E48:F51" si="7">G48+I48+K48</f>
        <v>11503</v>
      </c>
      <c r="F48" s="203">
        <f t="shared" si="7"/>
        <v>11503</v>
      </c>
      <c r="G48" s="202">
        <f>자재단위당!H12</f>
        <v>6014</v>
      </c>
      <c r="H48" s="203">
        <f>INT(G48*C48)</f>
        <v>6014</v>
      </c>
      <c r="I48" s="202">
        <f>자재단위당!I12</f>
        <v>3533</v>
      </c>
      <c r="J48" s="203">
        <f>INT(I48*C48)</f>
        <v>3533</v>
      </c>
      <c r="K48" s="202">
        <f>자재단위당!J12</f>
        <v>1956</v>
      </c>
      <c r="L48" s="203">
        <f>INT(K48*C48)</f>
        <v>1956</v>
      </c>
    </row>
    <row r="49" spans="1:12" ht="13.5" customHeight="1">
      <c r="A49" s="183" t="s">
        <v>492</v>
      </c>
      <c r="B49" s="42" t="s">
        <v>2483</v>
      </c>
      <c r="C49" s="193">
        <v>1</v>
      </c>
      <c r="D49" s="185" t="s">
        <v>1014</v>
      </c>
      <c r="E49" s="192">
        <f t="shared" si="7"/>
        <v>15456</v>
      </c>
      <c r="F49" s="191">
        <f t="shared" si="7"/>
        <v>15456</v>
      </c>
      <c r="G49" s="192">
        <f>자재단위당!H13</f>
        <v>15088</v>
      </c>
      <c r="H49" s="191">
        <f>INT(G49*C49)</f>
        <v>15088</v>
      </c>
      <c r="I49" s="192">
        <f>자재단위당!I13</f>
        <v>102</v>
      </c>
      <c r="J49" s="191">
        <f>INT(I49*C49)</f>
        <v>102</v>
      </c>
      <c r="K49" s="192">
        <f>자재단위당!J13</f>
        <v>266</v>
      </c>
      <c r="L49" s="191">
        <f>INT(K49*C49)</f>
        <v>266</v>
      </c>
    </row>
    <row r="50" spans="1:12" ht="13.5" customHeight="1">
      <c r="A50" s="183" t="s">
        <v>493</v>
      </c>
      <c r="B50" s="189" t="s">
        <v>1360</v>
      </c>
      <c r="C50" s="193">
        <f>자재작업량!I145</f>
        <v>0.09</v>
      </c>
      <c r="D50" s="185" t="s">
        <v>1328</v>
      </c>
      <c r="E50" s="192">
        <f t="shared" si="7"/>
        <v>172068</v>
      </c>
      <c r="F50" s="191">
        <f t="shared" si="7"/>
        <v>15486</v>
      </c>
      <c r="G50" s="192">
        <f>노임!D14</f>
        <v>172068</v>
      </c>
      <c r="H50" s="191">
        <f>INT(G50*C50)</f>
        <v>15486</v>
      </c>
      <c r="I50" s="192">
        <v>0</v>
      </c>
      <c r="J50" s="191">
        <f>INT(I50*C50)</f>
        <v>0</v>
      </c>
      <c r="K50" s="192">
        <v>0</v>
      </c>
      <c r="L50" s="191">
        <f>INT(K50*C50)</f>
        <v>0</v>
      </c>
    </row>
    <row r="51" spans="1:12" ht="13.5" customHeight="1">
      <c r="A51" s="183" t="s">
        <v>520</v>
      </c>
      <c r="B51" s="42" t="s">
        <v>2106</v>
      </c>
      <c r="C51" s="193">
        <v>1</v>
      </c>
      <c r="D51" s="185" t="s">
        <v>1014</v>
      </c>
      <c r="E51" s="192">
        <f t="shared" si="7"/>
        <v>9000</v>
      </c>
      <c r="F51" s="191">
        <f t="shared" si="7"/>
        <v>9000</v>
      </c>
      <c r="G51" s="192"/>
      <c r="H51" s="191">
        <f>INT(G51*C51)</f>
        <v>0</v>
      </c>
      <c r="I51" s="192">
        <f>자재!F243</f>
        <v>9000</v>
      </c>
      <c r="J51" s="191">
        <f>INT(I51*C51)</f>
        <v>9000</v>
      </c>
      <c r="K51" s="192">
        <v>0</v>
      </c>
      <c r="L51" s="191">
        <f>INT(K51*C51)</f>
        <v>0</v>
      </c>
    </row>
    <row r="52" spans="1:12" ht="13.5" customHeight="1">
      <c r="A52" s="59" t="s">
        <v>617</v>
      </c>
      <c r="B52" s="195"/>
      <c r="C52" s="123"/>
      <c r="D52" s="57"/>
      <c r="E52" s="204"/>
      <c r="F52" s="199">
        <f>H52+J52+L52</f>
        <v>51445</v>
      </c>
      <c r="G52" s="204"/>
      <c r="H52" s="199">
        <f>SUM(H48:H51)</f>
        <v>36588</v>
      </c>
      <c r="I52" s="204"/>
      <c r="J52" s="199">
        <f>SUM(J48:J51)</f>
        <v>12635</v>
      </c>
      <c r="K52" s="204"/>
      <c r="L52" s="199">
        <f>SUM(L48:L51)</f>
        <v>2222</v>
      </c>
    </row>
    <row r="53" spans="1:12" ht="13.5" customHeight="1">
      <c r="A53" s="20"/>
      <c r="B53" s="127"/>
      <c r="C53" s="21"/>
      <c r="D53" s="58"/>
      <c r="E53" s="181">
        <f>E47+1</f>
        <v>9</v>
      </c>
      <c r="F53" s="198" t="s">
        <v>102</v>
      </c>
      <c r="G53" s="198"/>
      <c r="H53" s="198"/>
      <c r="I53" s="198"/>
      <c r="J53" s="198" t="s">
        <v>103</v>
      </c>
      <c r="K53" s="198"/>
      <c r="L53" s="199"/>
    </row>
    <row r="54" spans="1:12" ht="13.5" customHeight="1">
      <c r="A54" s="215" t="s">
        <v>104</v>
      </c>
      <c r="B54" s="216" t="s">
        <v>1329</v>
      </c>
      <c r="C54" s="217">
        <f>자재작업량!I181</f>
        <v>1.7999999999999999E-2</v>
      </c>
      <c r="D54" s="218" t="s">
        <v>1328</v>
      </c>
      <c r="E54" s="188">
        <f t="shared" ref="E54:F56" si="8">G54+I54+K54</f>
        <v>172068</v>
      </c>
      <c r="F54" s="187">
        <f t="shared" si="8"/>
        <v>3097</v>
      </c>
      <c r="G54" s="188">
        <f>노임!D14</f>
        <v>172068</v>
      </c>
      <c r="H54" s="187">
        <f>INT(G54*C54)</f>
        <v>3097</v>
      </c>
      <c r="I54" s="188">
        <v>0</v>
      </c>
      <c r="J54" s="187">
        <f>INT(I54*C54)</f>
        <v>0</v>
      </c>
      <c r="K54" s="188">
        <v>0</v>
      </c>
      <c r="L54" s="187">
        <f>INT(K54*C54)</f>
        <v>0</v>
      </c>
    </row>
    <row r="55" spans="1:12" ht="13.5" customHeight="1">
      <c r="A55" s="183" t="s">
        <v>492</v>
      </c>
      <c r="B55" s="42" t="s">
        <v>2483</v>
      </c>
      <c r="C55" s="193">
        <v>1</v>
      </c>
      <c r="D55" s="185" t="s">
        <v>105</v>
      </c>
      <c r="E55" s="192">
        <f t="shared" si="8"/>
        <v>2741</v>
      </c>
      <c r="F55" s="191">
        <f t="shared" si="8"/>
        <v>2741</v>
      </c>
      <c r="G55" s="192">
        <f>자재단위당!H15</f>
        <v>2045</v>
      </c>
      <c r="H55" s="191">
        <f>INT(G55*C55)</f>
        <v>2045</v>
      </c>
      <c r="I55" s="192">
        <f>자재단위당!I15</f>
        <v>573</v>
      </c>
      <c r="J55" s="191">
        <f>INT(I55*C55)</f>
        <v>573</v>
      </c>
      <c r="K55" s="192">
        <f>자재단위당!J15</f>
        <v>123</v>
      </c>
      <c r="L55" s="191">
        <f>INT(K55*C55)</f>
        <v>123</v>
      </c>
    </row>
    <row r="56" spans="1:12" ht="13.5" customHeight="1">
      <c r="A56" s="183" t="s">
        <v>493</v>
      </c>
      <c r="B56" s="42" t="s">
        <v>1329</v>
      </c>
      <c r="C56" s="857">
        <f>자재작업량!J181</f>
        <v>0.01</v>
      </c>
      <c r="D56" s="185" t="s">
        <v>1328</v>
      </c>
      <c r="E56" s="192">
        <f t="shared" si="8"/>
        <v>172068</v>
      </c>
      <c r="F56" s="191">
        <f t="shared" si="8"/>
        <v>1720</v>
      </c>
      <c r="G56" s="192">
        <f>노임!D14</f>
        <v>172068</v>
      </c>
      <c r="H56" s="191">
        <f>INT(G56*C56)</f>
        <v>1720</v>
      </c>
      <c r="I56" s="192">
        <v>0</v>
      </c>
      <c r="J56" s="191">
        <f>INT(I56*C56)</f>
        <v>0</v>
      </c>
      <c r="K56" s="192">
        <v>0</v>
      </c>
      <c r="L56" s="191">
        <f>INT(K56*C56)</f>
        <v>0</v>
      </c>
    </row>
    <row r="57" spans="1:12" ht="13.5" customHeight="1">
      <c r="A57" s="168" t="s">
        <v>617</v>
      </c>
      <c r="B57" s="45"/>
      <c r="C57" s="219"/>
      <c r="D57" s="220"/>
      <c r="E57" s="197"/>
      <c r="F57" s="196">
        <f>H57+J57+L57</f>
        <v>7558</v>
      </c>
      <c r="G57" s="197"/>
      <c r="H57" s="196">
        <f>SUM(H54:H56)</f>
        <v>6862</v>
      </c>
      <c r="I57" s="197"/>
      <c r="J57" s="196">
        <f>SUM(J54:J56)</f>
        <v>573</v>
      </c>
      <c r="K57" s="197"/>
      <c r="L57" s="196">
        <f>SUM(L54:L56)</f>
        <v>123</v>
      </c>
    </row>
    <row r="58" spans="1:12" ht="13.5" customHeight="1">
      <c r="A58" s="20"/>
      <c r="B58" s="127"/>
      <c r="C58" s="21"/>
      <c r="D58" s="58"/>
      <c r="E58" s="181">
        <f>E53+1</f>
        <v>10</v>
      </c>
      <c r="F58" s="198" t="s">
        <v>106</v>
      </c>
      <c r="G58" s="198"/>
      <c r="H58" s="198"/>
      <c r="I58" s="198"/>
      <c r="J58" s="198" t="s">
        <v>103</v>
      </c>
      <c r="K58" s="198"/>
      <c r="L58" s="199"/>
    </row>
    <row r="59" spans="1:12" ht="13.5" customHeight="1">
      <c r="A59" s="215" t="s">
        <v>104</v>
      </c>
      <c r="B59" s="216" t="s">
        <v>1329</v>
      </c>
      <c r="C59" s="217">
        <f>자재작업량!I182</f>
        <v>2.5999999999999999E-2</v>
      </c>
      <c r="D59" s="218" t="s">
        <v>1328</v>
      </c>
      <c r="E59" s="188">
        <f t="shared" ref="E59:F61" si="9">G59+I59+K59</f>
        <v>172068</v>
      </c>
      <c r="F59" s="187">
        <f t="shared" si="9"/>
        <v>4473</v>
      </c>
      <c r="G59" s="188">
        <f>노임!D14</f>
        <v>172068</v>
      </c>
      <c r="H59" s="187">
        <f>INT(G59*C59)</f>
        <v>4473</v>
      </c>
      <c r="I59" s="188">
        <v>0</v>
      </c>
      <c r="J59" s="187">
        <f>INT(I59*C59)</f>
        <v>0</v>
      </c>
      <c r="K59" s="188">
        <v>0</v>
      </c>
      <c r="L59" s="187">
        <f>INT(K59*C59)</f>
        <v>0</v>
      </c>
    </row>
    <row r="60" spans="1:12" ht="13.5" customHeight="1">
      <c r="A60" s="183" t="s">
        <v>492</v>
      </c>
      <c r="B60" s="42" t="s">
        <v>2483</v>
      </c>
      <c r="C60" s="193">
        <v>1</v>
      </c>
      <c r="D60" s="185" t="s">
        <v>105</v>
      </c>
      <c r="E60" s="192">
        <f t="shared" si="9"/>
        <v>3905</v>
      </c>
      <c r="F60" s="191">
        <f t="shared" si="9"/>
        <v>3905</v>
      </c>
      <c r="G60" s="192">
        <f>자재단위당!H16</f>
        <v>2914</v>
      </c>
      <c r="H60" s="191">
        <f>INT(G60*C60)</f>
        <v>2914</v>
      </c>
      <c r="I60" s="192">
        <f>자재단위당!I16</f>
        <v>816</v>
      </c>
      <c r="J60" s="191">
        <f>INT(I60*C60)</f>
        <v>816</v>
      </c>
      <c r="K60" s="192">
        <f>자재단위당!J16</f>
        <v>175</v>
      </c>
      <c r="L60" s="191">
        <f>INT(K60*C60)</f>
        <v>175</v>
      </c>
    </row>
    <row r="61" spans="1:12" ht="13.5" customHeight="1">
      <c r="A61" s="183" t="s">
        <v>493</v>
      </c>
      <c r="B61" s="42" t="s">
        <v>1329</v>
      </c>
      <c r="C61" s="193">
        <f>자재작업량!J182</f>
        <v>1.4999999999999999E-2</v>
      </c>
      <c r="D61" s="185" t="s">
        <v>1328</v>
      </c>
      <c r="E61" s="192">
        <f t="shared" si="9"/>
        <v>172068</v>
      </c>
      <c r="F61" s="191">
        <f t="shared" si="9"/>
        <v>2581</v>
      </c>
      <c r="G61" s="192">
        <f>노임!D14</f>
        <v>172068</v>
      </c>
      <c r="H61" s="191">
        <f>INT(G61*C61)</f>
        <v>2581</v>
      </c>
      <c r="I61" s="192">
        <v>0</v>
      </c>
      <c r="J61" s="191">
        <f>INT(I61*C61)</f>
        <v>0</v>
      </c>
      <c r="K61" s="192">
        <v>0</v>
      </c>
      <c r="L61" s="191">
        <f>INT(K61*C61)</f>
        <v>0</v>
      </c>
    </row>
    <row r="62" spans="1:12" ht="13.5" customHeight="1">
      <c r="A62" s="168" t="s">
        <v>617</v>
      </c>
      <c r="B62" s="45"/>
      <c r="C62" s="219"/>
      <c r="D62" s="220"/>
      <c r="E62" s="197"/>
      <c r="F62" s="196">
        <f>H62+J62+L62</f>
        <v>10959</v>
      </c>
      <c r="G62" s="197"/>
      <c r="H62" s="196">
        <f>SUM(H59:H61)</f>
        <v>9968</v>
      </c>
      <c r="I62" s="197"/>
      <c r="J62" s="196">
        <f>SUM(J59:J61)</f>
        <v>816</v>
      </c>
      <c r="K62" s="197"/>
      <c r="L62" s="196">
        <f>SUM(L59:L61)</f>
        <v>175</v>
      </c>
    </row>
    <row r="63" spans="1:12" ht="13.5" customHeight="1">
      <c r="A63" s="20"/>
      <c r="B63" s="127"/>
      <c r="C63" s="21"/>
      <c r="D63" s="58"/>
      <c r="E63" s="181">
        <f>E58+1</f>
        <v>11</v>
      </c>
      <c r="F63" s="198" t="s">
        <v>107</v>
      </c>
      <c r="G63" s="198"/>
      <c r="H63" s="198"/>
      <c r="I63" s="198"/>
      <c r="J63" s="198" t="s">
        <v>103</v>
      </c>
      <c r="K63" s="198"/>
      <c r="L63" s="199"/>
    </row>
    <row r="64" spans="1:12" ht="13.5" customHeight="1">
      <c r="A64" s="215" t="s">
        <v>104</v>
      </c>
      <c r="B64" s="216" t="s">
        <v>1329</v>
      </c>
      <c r="C64" s="217">
        <f>자재작업량!I183</f>
        <v>4.5999999999999999E-2</v>
      </c>
      <c r="D64" s="218" t="s">
        <v>1328</v>
      </c>
      <c r="E64" s="188">
        <f t="shared" ref="E64:F66" si="10">G64+I64+K64</f>
        <v>172068</v>
      </c>
      <c r="F64" s="187">
        <f t="shared" si="10"/>
        <v>7915</v>
      </c>
      <c r="G64" s="188">
        <f>노임!D14</f>
        <v>172068</v>
      </c>
      <c r="H64" s="187">
        <f>INT(G64*C64)</f>
        <v>7915</v>
      </c>
      <c r="I64" s="188">
        <v>0</v>
      </c>
      <c r="J64" s="187">
        <f>INT(I64*C64)</f>
        <v>0</v>
      </c>
      <c r="K64" s="188">
        <v>0</v>
      </c>
      <c r="L64" s="187">
        <f>INT(K64*C64)</f>
        <v>0</v>
      </c>
    </row>
    <row r="65" spans="1:12" ht="13.5" customHeight="1">
      <c r="A65" s="183" t="s">
        <v>492</v>
      </c>
      <c r="B65" s="42" t="s">
        <v>2483</v>
      </c>
      <c r="C65" s="193">
        <v>1</v>
      </c>
      <c r="D65" s="185" t="s">
        <v>635</v>
      </c>
      <c r="E65" s="192">
        <f t="shared" si="10"/>
        <v>6873</v>
      </c>
      <c r="F65" s="191">
        <f t="shared" si="10"/>
        <v>6873</v>
      </c>
      <c r="G65" s="192">
        <f>자재단위당!H17</f>
        <v>5128</v>
      </c>
      <c r="H65" s="191">
        <f>INT(G65*C65)</f>
        <v>5128</v>
      </c>
      <c r="I65" s="192">
        <f>자재단위당!I17</f>
        <v>1436</v>
      </c>
      <c r="J65" s="191">
        <f>INT(I65*C65)</f>
        <v>1436</v>
      </c>
      <c r="K65" s="192">
        <f>자재단위당!J17</f>
        <v>309</v>
      </c>
      <c r="L65" s="191">
        <f>INT(K65*C65)</f>
        <v>309</v>
      </c>
    </row>
    <row r="66" spans="1:12" ht="13.5" customHeight="1">
      <c r="A66" s="183" t="s">
        <v>493</v>
      </c>
      <c r="B66" s="42" t="s">
        <v>1329</v>
      </c>
      <c r="C66" s="193">
        <f>자재작업량!J183</f>
        <v>2.5999999999999999E-2</v>
      </c>
      <c r="D66" s="185" t="s">
        <v>1328</v>
      </c>
      <c r="E66" s="192">
        <f t="shared" si="10"/>
        <v>172068</v>
      </c>
      <c r="F66" s="191">
        <f t="shared" si="10"/>
        <v>4473</v>
      </c>
      <c r="G66" s="192">
        <f>G64</f>
        <v>172068</v>
      </c>
      <c r="H66" s="191">
        <f>INT(G66*C66)</f>
        <v>4473</v>
      </c>
      <c r="I66" s="192">
        <v>0</v>
      </c>
      <c r="J66" s="191">
        <f>INT(I66*C66)</f>
        <v>0</v>
      </c>
      <c r="K66" s="192">
        <v>0</v>
      </c>
      <c r="L66" s="191">
        <f>INT(K66*C66)</f>
        <v>0</v>
      </c>
    </row>
    <row r="67" spans="1:12" ht="13.5" customHeight="1">
      <c r="A67" s="168" t="s">
        <v>617</v>
      </c>
      <c r="B67" s="45"/>
      <c r="C67" s="219"/>
      <c r="D67" s="220"/>
      <c r="E67" s="197"/>
      <c r="F67" s="196">
        <f>H67+J67+L67</f>
        <v>19261</v>
      </c>
      <c r="G67" s="197"/>
      <c r="H67" s="196">
        <f>SUM(H64:H66)</f>
        <v>17516</v>
      </c>
      <c r="I67" s="197"/>
      <c r="J67" s="196">
        <f>SUM(J64:J66)</f>
        <v>1436</v>
      </c>
      <c r="K67" s="197"/>
      <c r="L67" s="196">
        <f>SUM(L64:L66)</f>
        <v>309</v>
      </c>
    </row>
    <row r="68" spans="1:12" ht="13.5" customHeight="1">
      <c r="A68" s="20"/>
      <c r="B68" s="127"/>
      <c r="C68" s="21"/>
      <c r="D68" s="58"/>
      <c r="E68" s="181">
        <f>E63+1</f>
        <v>12</v>
      </c>
      <c r="F68" s="198" t="s">
        <v>1082</v>
      </c>
      <c r="G68" s="198"/>
      <c r="H68" s="198"/>
      <c r="I68" s="198"/>
      <c r="J68" s="198" t="s">
        <v>103</v>
      </c>
      <c r="K68" s="198"/>
      <c r="L68" s="199"/>
    </row>
    <row r="69" spans="1:12" ht="13.5" customHeight="1">
      <c r="A69" s="215" t="s">
        <v>104</v>
      </c>
      <c r="B69" s="216" t="s">
        <v>1329</v>
      </c>
      <c r="C69" s="217">
        <f>자재작업량!I184</f>
        <v>7.1999999999999995E-2</v>
      </c>
      <c r="D69" s="218" t="s">
        <v>1328</v>
      </c>
      <c r="E69" s="188">
        <f t="shared" ref="E69:F71" si="11">G69+I69+K69</f>
        <v>172068</v>
      </c>
      <c r="F69" s="187">
        <f t="shared" si="11"/>
        <v>12388</v>
      </c>
      <c r="G69" s="188">
        <f>G64</f>
        <v>172068</v>
      </c>
      <c r="H69" s="187">
        <f>INT(G69*C69)</f>
        <v>12388</v>
      </c>
      <c r="I69" s="188">
        <v>0</v>
      </c>
      <c r="J69" s="187">
        <f>INT(I69*C69)</f>
        <v>0</v>
      </c>
      <c r="K69" s="188">
        <v>0</v>
      </c>
      <c r="L69" s="187">
        <f>INT(K69*C69)</f>
        <v>0</v>
      </c>
    </row>
    <row r="70" spans="1:12" ht="13.5" customHeight="1">
      <c r="A70" s="183" t="s">
        <v>492</v>
      </c>
      <c r="B70" s="42" t="s">
        <v>2483</v>
      </c>
      <c r="C70" s="193">
        <v>1</v>
      </c>
      <c r="D70" s="185" t="s">
        <v>635</v>
      </c>
      <c r="E70" s="192">
        <f t="shared" si="11"/>
        <v>10671</v>
      </c>
      <c r="F70" s="191">
        <f t="shared" si="11"/>
        <v>10671</v>
      </c>
      <c r="G70" s="192">
        <f>자재단위당!H18</f>
        <v>7961</v>
      </c>
      <c r="H70" s="191">
        <f>INT(G70*C70)</f>
        <v>7961</v>
      </c>
      <c r="I70" s="192">
        <f>자재단위당!I18</f>
        <v>2230</v>
      </c>
      <c r="J70" s="191">
        <f>INT(I70*C70)</f>
        <v>2230</v>
      </c>
      <c r="K70" s="192">
        <f>자재단위당!J18</f>
        <v>480</v>
      </c>
      <c r="L70" s="191">
        <f>INT(K70*C70)</f>
        <v>480</v>
      </c>
    </row>
    <row r="71" spans="1:12" ht="13.5" customHeight="1">
      <c r="A71" s="183" t="s">
        <v>493</v>
      </c>
      <c r="B71" s="42" t="s">
        <v>1329</v>
      </c>
      <c r="C71" s="193">
        <f>자재작업량!J184</f>
        <v>0.04</v>
      </c>
      <c r="D71" s="185" t="s">
        <v>1328</v>
      </c>
      <c r="E71" s="192">
        <f t="shared" si="11"/>
        <v>172068</v>
      </c>
      <c r="F71" s="191">
        <f t="shared" si="11"/>
        <v>6882</v>
      </c>
      <c r="G71" s="192">
        <f>G61</f>
        <v>172068</v>
      </c>
      <c r="H71" s="191">
        <f>INT(G71*C71)</f>
        <v>6882</v>
      </c>
      <c r="I71" s="192">
        <v>0</v>
      </c>
      <c r="J71" s="191">
        <f>INT(I71*C71)</f>
        <v>0</v>
      </c>
      <c r="K71" s="192">
        <v>0</v>
      </c>
      <c r="L71" s="191">
        <f>INT(K71*C71)</f>
        <v>0</v>
      </c>
    </row>
    <row r="72" spans="1:12" ht="13.5" customHeight="1">
      <c r="A72" s="168" t="s">
        <v>617</v>
      </c>
      <c r="B72" s="45"/>
      <c r="C72" s="219"/>
      <c r="D72" s="220"/>
      <c r="E72" s="197"/>
      <c r="F72" s="196">
        <f>H72+J72+L72</f>
        <v>29941</v>
      </c>
      <c r="G72" s="197"/>
      <c r="H72" s="196">
        <f>SUM(H69:H71)</f>
        <v>27231</v>
      </c>
      <c r="I72" s="197"/>
      <c r="J72" s="196">
        <f>SUM(J69:J71)</f>
        <v>2230</v>
      </c>
      <c r="K72" s="197"/>
      <c r="L72" s="196">
        <f>SUM(L69:L71)</f>
        <v>480</v>
      </c>
    </row>
    <row r="73" spans="1:12" ht="13.5" customHeight="1">
      <c r="A73" s="20"/>
      <c r="B73" s="127"/>
      <c r="C73" s="21"/>
      <c r="D73" s="58"/>
      <c r="E73" s="181">
        <f>E68+1</f>
        <v>13</v>
      </c>
      <c r="F73" s="198" t="s">
        <v>108</v>
      </c>
      <c r="G73" s="198"/>
      <c r="H73" s="198"/>
      <c r="I73" s="198"/>
      <c r="J73" s="198" t="s">
        <v>103</v>
      </c>
      <c r="K73" s="198"/>
      <c r="L73" s="199"/>
    </row>
    <row r="74" spans="1:12" ht="13.5" customHeight="1">
      <c r="A74" s="215" t="s">
        <v>104</v>
      </c>
      <c r="B74" s="216" t="s">
        <v>1329</v>
      </c>
      <c r="C74" s="217">
        <f>자재작업량!I185</f>
        <v>1.7000000000000001E-2</v>
      </c>
      <c r="D74" s="218" t="s">
        <v>1328</v>
      </c>
      <c r="E74" s="188">
        <f t="shared" ref="E74:F76" si="12">G74+I74+K74</f>
        <v>172068</v>
      </c>
      <c r="F74" s="187">
        <f t="shared" si="12"/>
        <v>2925</v>
      </c>
      <c r="G74" s="188">
        <f>G69</f>
        <v>172068</v>
      </c>
      <c r="H74" s="187">
        <f>INT(G74*C74)</f>
        <v>2925</v>
      </c>
      <c r="I74" s="188">
        <v>0</v>
      </c>
      <c r="J74" s="187">
        <f>INT(I74*C74)</f>
        <v>0</v>
      </c>
      <c r="K74" s="188">
        <v>0</v>
      </c>
      <c r="L74" s="187">
        <f>INT(K74*C74)</f>
        <v>0</v>
      </c>
    </row>
    <row r="75" spans="1:12" ht="13.5" customHeight="1">
      <c r="A75" s="183" t="s">
        <v>492</v>
      </c>
      <c r="B75" s="42" t="s">
        <v>2483</v>
      </c>
      <c r="C75" s="193">
        <v>1</v>
      </c>
      <c r="D75" s="185" t="s">
        <v>105</v>
      </c>
      <c r="E75" s="192">
        <f t="shared" si="12"/>
        <v>2530</v>
      </c>
      <c r="F75" s="191">
        <f t="shared" si="12"/>
        <v>2530</v>
      </c>
      <c r="G75" s="192">
        <f>자재단위당!H19</f>
        <v>1888</v>
      </c>
      <c r="H75" s="191">
        <f>INT(G75*C75)</f>
        <v>1888</v>
      </c>
      <c r="I75" s="192">
        <f>자재단위당!I19</f>
        <v>529</v>
      </c>
      <c r="J75" s="191">
        <f>INT(I75*C75)</f>
        <v>529</v>
      </c>
      <c r="K75" s="192">
        <f>자재단위당!J19</f>
        <v>113</v>
      </c>
      <c r="L75" s="191">
        <f>INT(K75*C75)</f>
        <v>113</v>
      </c>
    </row>
    <row r="76" spans="1:12" ht="13.5" customHeight="1">
      <c r="A76" s="183" t="s">
        <v>493</v>
      </c>
      <c r="B76" s="42" t="s">
        <v>1329</v>
      </c>
      <c r="C76" s="193">
        <f>자재작업량!J185</f>
        <v>8.9999999999999993E-3</v>
      </c>
      <c r="D76" s="185" t="s">
        <v>1328</v>
      </c>
      <c r="E76" s="192">
        <f t="shared" si="12"/>
        <v>172068</v>
      </c>
      <c r="F76" s="191">
        <f t="shared" si="12"/>
        <v>1548</v>
      </c>
      <c r="G76" s="192">
        <f>노임!D14</f>
        <v>172068</v>
      </c>
      <c r="H76" s="191">
        <f>INT(G76*C76)</f>
        <v>1548</v>
      </c>
      <c r="I76" s="192">
        <v>0</v>
      </c>
      <c r="J76" s="191">
        <f>INT(I76*C76)</f>
        <v>0</v>
      </c>
      <c r="K76" s="192">
        <v>0</v>
      </c>
      <c r="L76" s="191">
        <f>INT(K76*C76)</f>
        <v>0</v>
      </c>
    </row>
    <row r="77" spans="1:12" ht="13.5" customHeight="1">
      <c r="A77" s="168" t="s">
        <v>617</v>
      </c>
      <c r="B77" s="45"/>
      <c r="C77" s="219"/>
      <c r="D77" s="220"/>
      <c r="E77" s="197"/>
      <c r="F77" s="196">
        <f>H77+J77+L77</f>
        <v>7003</v>
      </c>
      <c r="G77" s="197"/>
      <c r="H77" s="196">
        <f>SUM(H74:H76)</f>
        <v>6361</v>
      </c>
      <c r="I77" s="197"/>
      <c r="J77" s="196">
        <f>SUM(J74:J76)</f>
        <v>529</v>
      </c>
      <c r="K77" s="197"/>
      <c r="L77" s="196">
        <f>SUM(L74:L76)</f>
        <v>113</v>
      </c>
    </row>
    <row r="78" spans="1:12" ht="13.5" customHeight="1">
      <c r="A78" s="20"/>
      <c r="B78" s="127"/>
      <c r="C78" s="21"/>
      <c r="D78" s="58"/>
      <c r="E78" s="181">
        <f>E73+1</f>
        <v>14</v>
      </c>
      <c r="F78" s="198" t="s">
        <v>109</v>
      </c>
      <c r="G78" s="198"/>
      <c r="H78" s="198"/>
      <c r="I78" s="198"/>
      <c r="J78" s="198" t="s">
        <v>103</v>
      </c>
      <c r="K78" s="198"/>
      <c r="L78" s="199"/>
    </row>
    <row r="79" spans="1:12" ht="13.5" customHeight="1">
      <c r="A79" s="215" t="s">
        <v>104</v>
      </c>
      <c r="B79" s="216" t="s">
        <v>1329</v>
      </c>
      <c r="C79" s="217">
        <f>자재작업량!I186</f>
        <v>2.3E-2</v>
      </c>
      <c r="D79" s="218" t="s">
        <v>1328</v>
      </c>
      <c r="E79" s="188">
        <f t="shared" ref="E79:F81" si="13">G79+I79+K79</f>
        <v>172068</v>
      </c>
      <c r="F79" s="187">
        <f t="shared" si="13"/>
        <v>3957</v>
      </c>
      <c r="G79" s="188">
        <f>G74</f>
        <v>172068</v>
      </c>
      <c r="H79" s="187">
        <f>INT(G79*C79)</f>
        <v>3957</v>
      </c>
      <c r="I79" s="188">
        <v>0</v>
      </c>
      <c r="J79" s="187">
        <f>INT(I79*C79)</f>
        <v>0</v>
      </c>
      <c r="K79" s="188">
        <v>0</v>
      </c>
      <c r="L79" s="187">
        <f>INT(K79*C79)</f>
        <v>0</v>
      </c>
    </row>
    <row r="80" spans="1:12" ht="13.5" customHeight="1">
      <c r="A80" s="183" t="s">
        <v>492</v>
      </c>
      <c r="B80" s="42" t="s">
        <v>2483</v>
      </c>
      <c r="C80" s="193">
        <v>1</v>
      </c>
      <c r="D80" s="185" t="s">
        <v>105</v>
      </c>
      <c r="E80" s="192">
        <f t="shared" si="13"/>
        <v>3362</v>
      </c>
      <c r="F80" s="191">
        <f t="shared" si="13"/>
        <v>3362</v>
      </c>
      <c r="G80" s="192">
        <f>자재단위당!H20</f>
        <v>2509</v>
      </c>
      <c r="H80" s="191">
        <f>INT(G80*C80)</f>
        <v>2509</v>
      </c>
      <c r="I80" s="192">
        <f>자재단위당!I20</f>
        <v>702</v>
      </c>
      <c r="J80" s="191">
        <f>INT(I80*C80)</f>
        <v>702</v>
      </c>
      <c r="K80" s="192">
        <f>자재단위당!J20</f>
        <v>151</v>
      </c>
      <c r="L80" s="191">
        <f>INT(K80*C80)</f>
        <v>151</v>
      </c>
    </row>
    <row r="81" spans="1:12" ht="13.5" customHeight="1">
      <c r="A81" s="183" t="s">
        <v>493</v>
      </c>
      <c r="B81" s="42" t="s">
        <v>1329</v>
      </c>
      <c r="C81" s="193">
        <f>자재작업량!J186</f>
        <v>1.2999999999999999E-2</v>
      </c>
      <c r="D81" s="185" t="s">
        <v>1328</v>
      </c>
      <c r="E81" s="192">
        <f t="shared" si="13"/>
        <v>172068</v>
      </c>
      <c r="F81" s="191">
        <f t="shared" si="13"/>
        <v>2236</v>
      </c>
      <c r="G81" s="192">
        <f>노임!D14</f>
        <v>172068</v>
      </c>
      <c r="H81" s="191">
        <f>INT(G81*C81)</f>
        <v>2236</v>
      </c>
      <c r="I81" s="192">
        <v>0</v>
      </c>
      <c r="J81" s="191">
        <f>INT(I81*C81)</f>
        <v>0</v>
      </c>
      <c r="K81" s="192">
        <v>0</v>
      </c>
      <c r="L81" s="191">
        <f>INT(K81*C81)</f>
        <v>0</v>
      </c>
    </row>
    <row r="82" spans="1:12" ht="13.5" customHeight="1">
      <c r="A82" s="168" t="s">
        <v>617</v>
      </c>
      <c r="B82" s="45"/>
      <c r="C82" s="219"/>
      <c r="D82" s="220"/>
      <c r="E82" s="197"/>
      <c r="F82" s="196">
        <f>H82+J82+L82</f>
        <v>9555</v>
      </c>
      <c r="G82" s="197"/>
      <c r="H82" s="196">
        <f>SUM(H79:H81)</f>
        <v>8702</v>
      </c>
      <c r="I82" s="197"/>
      <c r="J82" s="196">
        <f>SUM(J79:J81)</f>
        <v>702</v>
      </c>
      <c r="K82" s="197"/>
      <c r="L82" s="196">
        <f>SUM(L79:L81)</f>
        <v>151</v>
      </c>
    </row>
    <row r="83" spans="1:12" ht="13.5" customHeight="1">
      <c r="A83" s="20"/>
      <c r="B83" s="127"/>
      <c r="C83" s="21"/>
      <c r="D83" s="58"/>
      <c r="E83" s="181">
        <f>E78+1</f>
        <v>15</v>
      </c>
      <c r="F83" s="198" t="s">
        <v>110</v>
      </c>
      <c r="G83" s="198"/>
      <c r="H83" s="198"/>
      <c r="I83" s="198"/>
      <c r="J83" s="198" t="s">
        <v>103</v>
      </c>
      <c r="K83" s="198"/>
      <c r="L83" s="199"/>
    </row>
    <row r="84" spans="1:12" ht="13.5" customHeight="1">
      <c r="A84" s="215" t="s">
        <v>104</v>
      </c>
      <c r="B84" s="216" t="s">
        <v>1329</v>
      </c>
      <c r="C84" s="217">
        <f>자재작업량!I187</f>
        <v>2.5999999999999999E-2</v>
      </c>
      <c r="D84" s="218" t="s">
        <v>1328</v>
      </c>
      <c r="E84" s="188">
        <f t="shared" ref="E84:F86" si="14">G84+I84+K84</f>
        <v>172068</v>
      </c>
      <c r="F84" s="187">
        <f t="shared" si="14"/>
        <v>4473</v>
      </c>
      <c r="G84" s="188">
        <f>G79</f>
        <v>172068</v>
      </c>
      <c r="H84" s="187">
        <f>INT(G84*C84)</f>
        <v>4473</v>
      </c>
      <c r="I84" s="188">
        <v>0</v>
      </c>
      <c r="J84" s="187">
        <f>INT(I84*C84)</f>
        <v>0</v>
      </c>
      <c r="K84" s="188">
        <v>0</v>
      </c>
      <c r="L84" s="187">
        <f>INT(K84*C84)</f>
        <v>0</v>
      </c>
    </row>
    <row r="85" spans="1:12" ht="13.5" customHeight="1">
      <c r="A85" s="183" t="s">
        <v>492</v>
      </c>
      <c r="B85" s="42" t="s">
        <v>2483</v>
      </c>
      <c r="C85" s="193">
        <v>1</v>
      </c>
      <c r="D85" s="185" t="s">
        <v>105</v>
      </c>
      <c r="E85" s="192">
        <f t="shared" si="14"/>
        <v>3885</v>
      </c>
      <c r="F85" s="191">
        <f t="shared" si="14"/>
        <v>3885</v>
      </c>
      <c r="G85" s="192">
        <f>자재단위당!H21</f>
        <v>2899</v>
      </c>
      <c r="H85" s="191">
        <f>INT(G85*C85)</f>
        <v>2899</v>
      </c>
      <c r="I85" s="192">
        <f>자재단위당!I21</f>
        <v>812</v>
      </c>
      <c r="J85" s="191">
        <f>INT(I85*C85)</f>
        <v>812</v>
      </c>
      <c r="K85" s="192">
        <f>자재단위당!J21</f>
        <v>174</v>
      </c>
      <c r="L85" s="191">
        <f>INT(K85*C85)</f>
        <v>174</v>
      </c>
    </row>
    <row r="86" spans="1:12" ht="13.5" customHeight="1">
      <c r="A86" s="183" t="s">
        <v>493</v>
      </c>
      <c r="B86" s="42" t="s">
        <v>1329</v>
      </c>
      <c r="C86" s="193">
        <f>자재작업량!J187</f>
        <v>1.4999999999999999E-2</v>
      </c>
      <c r="D86" s="185" t="s">
        <v>1328</v>
      </c>
      <c r="E86" s="192">
        <f t="shared" si="14"/>
        <v>172068</v>
      </c>
      <c r="F86" s="191">
        <f t="shared" si="14"/>
        <v>2581</v>
      </c>
      <c r="G86" s="192">
        <f>노임!D14</f>
        <v>172068</v>
      </c>
      <c r="H86" s="191">
        <f>INT(G86*C86)</f>
        <v>2581</v>
      </c>
      <c r="I86" s="192">
        <v>0</v>
      </c>
      <c r="J86" s="191">
        <f>INT(I86*C86)</f>
        <v>0</v>
      </c>
      <c r="K86" s="192">
        <v>0</v>
      </c>
      <c r="L86" s="191">
        <f>INT(K86*C86)</f>
        <v>0</v>
      </c>
    </row>
    <row r="87" spans="1:12" ht="13.5" customHeight="1">
      <c r="A87" s="168" t="s">
        <v>617</v>
      </c>
      <c r="B87" s="45"/>
      <c r="C87" s="219"/>
      <c r="D87" s="220"/>
      <c r="E87" s="197"/>
      <c r="F87" s="196">
        <f>H87+J87+L87</f>
        <v>10939</v>
      </c>
      <c r="G87" s="197"/>
      <c r="H87" s="196">
        <f>SUM(H84:H86)</f>
        <v>9953</v>
      </c>
      <c r="I87" s="197"/>
      <c r="J87" s="196">
        <f>SUM(J84:J86)</f>
        <v>812</v>
      </c>
      <c r="K87" s="197"/>
      <c r="L87" s="196">
        <f>SUM(L84:L86)</f>
        <v>174</v>
      </c>
    </row>
    <row r="88" spans="1:12" ht="13.5" customHeight="1">
      <c r="A88" s="20"/>
      <c r="B88" s="127"/>
      <c r="C88" s="21"/>
      <c r="D88" s="58"/>
      <c r="E88" s="181">
        <f>E83+1</f>
        <v>16</v>
      </c>
      <c r="F88" s="198" t="s">
        <v>111</v>
      </c>
      <c r="G88" s="198"/>
      <c r="H88" s="198"/>
      <c r="I88" s="198"/>
      <c r="J88" s="198" t="s">
        <v>103</v>
      </c>
      <c r="K88" s="198"/>
      <c r="L88" s="199"/>
    </row>
    <row r="89" spans="1:12" ht="13.5" customHeight="1">
      <c r="A89" s="215" t="s">
        <v>104</v>
      </c>
      <c r="B89" s="216" t="s">
        <v>1329</v>
      </c>
      <c r="C89" s="217">
        <f>자재작업량!I188</f>
        <v>3.1E-2</v>
      </c>
      <c r="D89" s="218" t="s">
        <v>1328</v>
      </c>
      <c r="E89" s="188">
        <f t="shared" ref="E89:F91" si="15">G89+I89+K89</f>
        <v>172068</v>
      </c>
      <c r="F89" s="187">
        <f t="shared" si="15"/>
        <v>5334</v>
      </c>
      <c r="G89" s="188">
        <f>G84</f>
        <v>172068</v>
      </c>
      <c r="H89" s="187">
        <f>INT(G89*C89)</f>
        <v>5334</v>
      </c>
      <c r="I89" s="188">
        <v>0</v>
      </c>
      <c r="J89" s="187">
        <f>INT(I89*C89)</f>
        <v>0</v>
      </c>
      <c r="K89" s="188">
        <v>0</v>
      </c>
      <c r="L89" s="187">
        <f>INT(K89*C89)</f>
        <v>0</v>
      </c>
    </row>
    <row r="90" spans="1:12" ht="13.5" customHeight="1">
      <c r="A90" s="183" t="s">
        <v>492</v>
      </c>
      <c r="B90" s="42" t="s">
        <v>2483</v>
      </c>
      <c r="C90" s="193">
        <v>1</v>
      </c>
      <c r="D90" s="185" t="s">
        <v>105</v>
      </c>
      <c r="E90" s="192">
        <f t="shared" si="15"/>
        <v>4616</v>
      </c>
      <c r="F90" s="191">
        <f t="shared" si="15"/>
        <v>4616</v>
      </c>
      <c r="G90" s="192">
        <f>자재단위당!H22</f>
        <v>3444</v>
      </c>
      <c r="H90" s="191">
        <f>INT(G90*C90)</f>
        <v>3444</v>
      </c>
      <c r="I90" s="192">
        <f>자재단위당!I22</f>
        <v>965</v>
      </c>
      <c r="J90" s="191">
        <f>INT(I90*C90)</f>
        <v>965</v>
      </c>
      <c r="K90" s="192">
        <f>자재단위당!J22</f>
        <v>207</v>
      </c>
      <c r="L90" s="191">
        <f>INT(K90*C90)</f>
        <v>207</v>
      </c>
    </row>
    <row r="91" spans="1:12" ht="13.5" customHeight="1">
      <c r="A91" s="183" t="s">
        <v>493</v>
      </c>
      <c r="B91" s="42" t="s">
        <v>1329</v>
      </c>
      <c r="C91" s="193">
        <f>자재작업량!J188</f>
        <v>1.7000000000000001E-2</v>
      </c>
      <c r="D91" s="185" t="s">
        <v>1328</v>
      </c>
      <c r="E91" s="192">
        <f t="shared" si="15"/>
        <v>170920</v>
      </c>
      <c r="F91" s="191">
        <f t="shared" si="15"/>
        <v>2905</v>
      </c>
      <c r="G91" s="192">
        <f>노임!F6</f>
        <v>170920</v>
      </c>
      <c r="H91" s="191">
        <f>INT(G91*C91)</f>
        <v>2905</v>
      </c>
      <c r="I91" s="192">
        <v>0</v>
      </c>
      <c r="J91" s="191">
        <f>INT(I91*C91)</f>
        <v>0</v>
      </c>
      <c r="K91" s="192">
        <v>0</v>
      </c>
      <c r="L91" s="191">
        <f>INT(K91*C91)</f>
        <v>0</v>
      </c>
    </row>
    <row r="92" spans="1:12" ht="13.5" customHeight="1">
      <c r="A92" s="168" t="s">
        <v>617</v>
      </c>
      <c r="B92" s="45"/>
      <c r="C92" s="219"/>
      <c r="D92" s="220"/>
      <c r="E92" s="197"/>
      <c r="F92" s="196">
        <f>H92+J92+L92</f>
        <v>12855</v>
      </c>
      <c r="G92" s="197"/>
      <c r="H92" s="196">
        <f>SUM(H89:H91)</f>
        <v>11683</v>
      </c>
      <c r="I92" s="197"/>
      <c r="J92" s="196">
        <f>SUM(J89:J91)</f>
        <v>965</v>
      </c>
      <c r="K92" s="197"/>
      <c r="L92" s="196">
        <f>SUM(L89:L91)</f>
        <v>207</v>
      </c>
    </row>
    <row r="93" spans="1:12" ht="13.5" customHeight="1">
      <c r="A93" s="20"/>
      <c r="B93" s="127"/>
      <c r="C93" s="21"/>
      <c r="D93" s="58"/>
      <c r="E93" s="181">
        <f>E88+1</f>
        <v>17</v>
      </c>
      <c r="F93" s="198" t="s">
        <v>112</v>
      </c>
      <c r="G93" s="198"/>
      <c r="H93" s="198"/>
      <c r="I93" s="198"/>
      <c r="J93" s="198" t="s">
        <v>103</v>
      </c>
      <c r="K93" s="198"/>
      <c r="L93" s="199"/>
    </row>
    <row r="94" spans="1:12" ht="13.5" customHeight="1">
      <c r="A94" s="215" t="s">
        <v>104</v>
      </c>
      <c r="B94" s="216" t="s">
        <v>1329</v>
      </c>
      <c r="C94" s="856">
        <f>자재작업량!I189</f>
        <v>0.04</v>
      </c>
      <c r="D94" s="218" t="s">
        <v>1328</v>
      </c>
      <c r="E94" s="188">
        <f t="shared" ref="E94:F96" si="16">G94+I94+K94</f>
        <v>172068</v>
      </c>
      <c r="F94" s="187">
        <f t="shared" si="16"/>
        <v>6882</v>
      </c>
      <c r="G94" s="188">
        <f>G89</f>
        <v>172068</v>
      </c>
      <c r="H94" s="187">
        <f>INT(G94*C94)</f>
        <v>6882</v>
      </c>
      <c r="I94" s="188">
        <v>0</v>
      </c>
      <c r="J94" s="187">
        <f>INT(I94*C94)</f>
        <v>0</v>
      </c>
      <c r="K94" s="188">
        <v>0</v>
      </c>
      <c r="L94" s="187">
        <f>INT(K94*C94)</f>
        <v>0</v>
      </c>
    </row>
    <row r="95" spans="1:12" ht="13.5" customHeight="1">
      <c r="A95" s="183" t="s">
        <v>492</v>
      </c>
      <c r="B95" s="42" t="s">
        <v>2483</v>
      </c>
      <c r="C95" s="193">
        <v>1</v>
      </c>
      <c r="D95" s="185" t="s">
        <v>105</v>
      </c>
      <c r="E95" s="192">
        <f t="shared" si="16"/>
        <v>5971</v>
      </c>
      <c r="F95" s="191">
        <f t="shared" si="16"/>
        <v>5971</v>
      </c>
      <c r="G95" s="192">
        <f>자재단위당!H23</f>
        <v>4455</v>
      </c>
      <c r="H95" s="191">
        <f>INT(G95*C95)</f>
        <v>4455</v>
      </c>
      <c r="I95" s="192">
        <f>자재단위당!I23</f>
        <v>1248</v>
      </c>
      <c r="J95" s="191">
        <f>INT(I95*C95)</f>
        <v>1248</v>
      </c>
      <c r="K95" s="192">
        <f>자재단위당!J23</f>
        <v>268</v>
      </c>
      <c r="L95" s="191">
        <f>INT(K95*C95)</f>
        <v>268</v>
      </c>
    </row>
    <row r="96" spans="1:12" ht="13.5" customHeight="1">
      <c r="A96" s="183" t="s">
        <v>493</v>
      </c>
      <c r="B96" s="42" t="s">
        <v>1329</v>
      </c>
      <c r="C96" s="193">
        <f>자재작업량!J189</f>
        <v>2.1999999999999999E-2</v>
      </c>
      <c r="D96" s="185" t="s">
        <v>1328</v>
      </c>
      <c r="E96" s="192">
        <f t="shared" si="16"/>
        <v>172068</v>
      </c>
      <c r="F96" s="191">
        <f t="shared" si="16"/>
        <v>3785</v>
      </c>
      <c r="G96" s="192">
        <f>노임!D14</f>
        <v>172068</v>
      </c>
      <c r="H96" s="191">
        <f>INT(G96*C96)</f>
        <v>3785</v>
      </c>
      <c r="I96" s="192">
        <v>0</v>
      </c>
      <c r="J96" s="191">
        <f>INT(I96*C96)</f>
        <v>0</v>
      </c>
      <c r="K96" s="192">
        <v>0</v>
      </c>
      <c r="L96" s="191">
        <f>INT(K96*C96)</f>
        <v>0</v>
      </c>
    </row>
    <row r="97" spans="1:12" ht="13.5" customHeight="1">
      <c r="A97" s="168" t="s">
        <v>617</v>
      </c>
      <c r="B97" s="45"/>
      <c r="C97" s="219"/>
      <c r="D97" s="220"/>
      <c r="E97" s="197"/>
      <c r="F97" s="196">
        <f>H97+J97+L97</f>
        <v>16638</v>
      </c>
      <c r="G97" s="197"/>
      <c r="H97" s="196">
        <f>SUM(H94:H96)</f>
        <v>15122</v>
      </c>
      <c r="I97" s="197"/>
      <c r="J97" s="196">
        <f>SUM(J94:J96)</f>
        <v>1248</v>
      </c>
      <c r="K97" s="197"/>
      <c r="L97" s="196">
        <f>SUM(L94:L96)</f>
        <v>268</v>
      </c>
    </row>
    <row r="98" spans="1:12" ht="13.5" customHeight="1">
      <c r="A98" s="20"/>
      <c r="B98" s="127"/>
      <c r="C98" s="21"/>
      <c r="D98" s="58"/>
      <c r="E98" s="181">
        <f>E93+1</f>
        <v>18</v>
      </c>
      <c r="F98" s="198" t="s">
        <v>1774</v>
      </c>
      <c r="G98" s="198"/>
      <c r="H98" s="198"/>
      <c r="I98" s="198"/>
      <c r="J98" s="198" t="s">
        <v>103</v>
      </c>
      <c r="K98" s="198"/>
      <c r="L98" s="199"/>
    </row>
    <row r="99" spans="1:12" ht="13.5" customHeight="1">
      <c r="A99" s="215" t="s">
        <v>104</v>
      </c>
      <c r="B99" s="216" t="s">
        <v>1329</v>
      </c>
      <c r="C99" s="856">
        <f>자재작업량!I190</f>
        <v>0.06</v>
      </c>
      <c r="D99" s="218" t="s">
        <v>1328</v>
      </c>
      <c r="E99" s="188">
        <f t="shared" ref="E99:F101" si="17">G99+I99+K99</f>
        <v>172068</v>
      </c>
      <c r="F99" s="187">
        <f t="shared" si="17"/>
        <v>10324</v>
      </c>
      <c r="G99" s="188">
        <f>G94</f>
        <v>172068</v>
      </c>
      <c r="H99" s="187">
        <f>INT(G99*C99)</f>
        <v>10324</v>
      </c>
      <c r="I99" s="188">
        <v>0</v>
      </c>
      <c r="J99" s="187">
        <f>INT(I99*C99)</f>
        <v>0</v>
      </c>
      <c r="K99" s="188">
        <v>0</v>
      </c>
      <c r="L99" s="187">
        <f>INT(K99*C99)</f>
        <v>0</v>
      </c>
    </row>
    <row r="100" spans="1:12" ht="13.5" customHeight="1">
      <c r="A100" s="183" t="s">
        <v>492</v>
      </c>
      <c r="B100" s="42" t="s">
        <v>2483</v>
      </c>
      <c r="C100" s="193">
        <v>1</v>
      </c>
      <c r="D100" s="185" t="s">
        <v>14</v>
      </c>
      <c r="E100" s="192">
        <f t="shared" si="17"/>
        <v>8994</v>
      </c>
      <c r="F100" s="191">
        <f t="shared" si="17"/>
        <v>8994</v>
      </c>
      <c r="G100" s="192">
        <f>자재단위당!H24</f>
        <v>6710</v>
      </c>
      <c r="H100" s="191">
        <f>INT(G100*C100)</f>
        <v>6710</v>
      </c>
      <c r="I100" s="192">
        <f>자재단위당!I24</f>
        <v>1880</v>
      </c>
      <c r="J100" s="191">
        <f>INT(I100*C100)</f>
        <v>1880</v>
      </c>
      <c r="K100" s="192">
        <f>자재단위당!J24</f>
        <v>404</v>
      </c>
      <c r="L100" s="191">
        <f>INT(K100*C100)</f>
        <v>404</v>
      </c>
    </row>
    <row r="101" spans="1:12" ht="13.5" customHeight="1">
      <c r="A101" s="183" t="s">
        <v>493</v>
      </c>
      <c r="B101" s="42" t="s">
        <v>1329</v>
      </c>
      <c r="C101" s="193">
        <f>자재작업량!J190</f>
        <v>3.4000000000000002E-2</v>
      </c>
      <c r="D101" s="185" t="s">
        <v>1328</v>
      </c>
      <c r="E101" s="192">
        <f t="shared" si="17"/>
        <v>172068</v>
      </c>
      <c r="F101" s="191">
        <f t="shared" si="17"/>
        <v>5850</v>
      </c>
      <c r="G101" s="192">
        <f>G96</f>
        <v>172068</v>
      </c>
      <c r="H101" s="191">
        <f>INT(G101*C101)</f>
        <v>5850</v>
      </c>
      <c r="I101" s="192">
        <v>0</v>
      </c>
      <c r="J101" s="191">
        <f>INT(I101*C101)</f>
        <v>0</v>
      </c>
      <c r="K101" s="192">
        <v>0</v>
      </c>
      <c r="L101" s="191">
        <f>INT(K101*C101)</f>
        <v>0</v>
      </c>
    </row>
    <row r="102" spans="1:12" ht="13.5" customHeight="1">
      <c r="A102" s="168" t="s">
        <v>617</v>
      </c>
      <c r="B102" s="45"/>
      <c r="C102" s="219"/>
      <c r="D102" s="220"/>
      <c r="E102" s="197"/>
      <c r="F102" s="196">
        <f>H102+J102+L102</f>
        <v>25168</v>
      </c>
      <c r="G102" s="197"/>
      <c r="H102" s="196">
        <f>SUM(H99:H101)</f>
        <v>22884</v>
      </c>
      <c r="I102" s="197"/>
      <c r="J102" s="196">
        <f>SUM(J99:J101)</f>
        <v>1880</v>
      </c>
      <c r="K102" s="197"/>
      <c r="L102" s="196">
        <f>SUM(L99:L101)</f>
        <v>404</v>
      </c>
    </row>
    <row r="103" spans="1:12" ht="13.5" customHeight="1">
      <c r="A103" s="20"/>
      <c r="B103" s="127"/>
      <c r="C103" s="21"/>
      <c r="D103" s="58"/>
      <c r="E103" s="181">
        <f>E98+1</f>
        <v>19</v>
      </c>
      <c r="F103" s="198" t="s">
        <v>1787</v>
      </c>
      <c r="G103" s="198"/>
      <c r="H103" s="198"/>
      <c r="I103" s="198"/>
      <c r="J103" s="198" t="s">
        <v>103</v>
      </c>
      <c r="K103" s="198"/>
      <c r="L103" s="199"/>
    </row>
    <row r="104" spans="1:12" ht="13.5" customHeight="1">
      <c r="A104" s="215" t="s">
        <v>104</v>
      </c>
      <c r="B104" s="216" t="s">
        <v>1329</v>
      </c>
      <c r="C104" s="217">
        <f>자재작업량!I191</f>
        <v>7.6999999999999999E-2</v>
      </c>
      <c r="D104" s="218" t="s">
        <v>1328</v>
      </c>
      <c r="E104" s="188">
        <f t="shared" ref="E104:F106" si="18">G104+I104+K104</f>
        <v>172068</v>
      </c>
      <c r="F104" s="187">
        <f t="shared" si="18"/>
        <v>13249</v>
      </c>
      <c r="G104" s="188">
        <f>G99</f>
        <v>172068</v>
      </c>
      <c r="H104" s="187">
        <f>INT(G104*C104)</f>
        <v>13249</v>
      </c>
      <c r="I104" s="188">
        <v>0</v>
      </c>
      <c r="J104" s="187">
        <f>INT(I104*C104)</f>
        <v>0</v>
      </c>
      <c r="K104" s="188">
        <v>0</v>
      </c>
      <c r="L104" s="187">
        <f>INT(K104*C104)</f>
        <v>0</v>
      </c>
    </row>
    <row r="105" spans="1:12" ht="13.5" customHeight="1">
      <c r="A105" s="183" t="s">
        <v>492</v>
      </c>
      <c r="B105" s="42" t="s">
        <v>2483</v>
      </c>
      <c r="C105" s="193">
        <v>1</v>
      </c>
      <c r="D105" s="185" t="s">
        <v>14</v>
      </c>
      <c r="E105" s="192">
        <f t="shared" si="18"/>
        <v>11473</v>
      </c>
      <c r="F105" s="191">
        <f t="shared" si="18"/>
        <v>11473</v>
      </c>
      <c r="G105" s="192">
        <f>자재단위당!H25</f>
        <v>8559</v>
      </c>
      <c r="H105" s="191">
        <f>INT(G105*C105)</f>
        <v>8559</v>
      </c>
      <c r="I105" s="192">
        <f>자재단위당!I25</f>
        <v>2398</v>
      </c>
      <c r="J105" s="191">
        <f>INT(I105*C105)</f>
        <v>2398</v>
      </c>
      <c r="K105" s="192">
        <f>자재단위당!J25</f>
        <v>516</v>
      </c>
      <c r="L105" s="191">
        <f>INT(K105*C105)</f>
        <v>516</v>
      </c>
    </row>
    <row r="106" spans="1:12" ht="13.5" customHeight="1">
      <c r="A106" s="183" t="s">
        <v>493</v>
      </c>
      <c r="B106" s="42" t="s">
        <v>1329</v>
      </c>
      <c r="C106" s="193">
        <f>자재작업량!J191</f>
        <v>4.2999999999999997E-2</v>
      </c>
      <c r="D106" s="185" t="s">
        <v>1328</v>
      </c>
      <c r="E106" s="192">
        <f t="shared" si="18"/>
        <v>172068</v>
      </c>
      <c r="F106" s="191">
        <f t="shared" si="18"/>
        <v>7398</v>
      </c>
      <c r="G106" s="192">
        <f>G101</f>
        <v>172068</v>
      </c>
      <c r="H106" s="191">
        <f>INT(G106*C106)</f>
        <v>7398</v>
      </c>
      <c r="I106" s="192">
        <v>0</v>
      </c>
      <c r="J106" s="191">
        <f>INT(I106*C106)</f>
        <v>0</v>
      </c>
      <c r="K106" s="192">
        <v>0</v>
      </c>
      <c r="L106" s="191">
        <f>INT(K106*C106)</f>
        <v>0</v>
      </c>
    </row>
    <row r="107" spans="1:12" ht="13.5" customHeight="1">
      <c r="A107" s="168" t="s">
        <v>617</v>
      </c>
      <c r="B107" s="45"/>
      <c r="C107" s="219"/>
      <c r="D107" s="220"/>
      <c r="E107" s="197"/>
      <c r="F107" s="196">
        <f>H107+J107+L107</f>
        <v>32120</v>
      </c>
      <c r="G107" s="197"/>
      <c r="H107" s="196">
        <f>SUM(H104:H106)</f>
        <v>29206</v>
      </c>
      <c r="I107" s="197"/>
      <c r="J107" s="196">
        <f>SUM(J104:J106)</f>
        <v>2398</v>
      </c>
      <c r="K107" s="197"/>
      <c r="L107" s="196">
        <f>SUM(L104:L106)</f>
        <v>516</v>
      </c>
    </row>
    <row r="108" spans="1:12" ht="13.5" customHeight="1">
      <c r="A108" s="20"/>
      <c r="B108" s="127"/>
      <c r="C108" s="21"/>
      <c r="D108" s="58"/>
      <c r="E108" s="181">
        <f>E103+1</f>
        <v>20</v>
      </c>
      <c r="F108" s="198" t="s">
        <v>2512</v>
      </c>
      <c r="G108" s="198"/>
      <c r="H108" s="198"/>
      <c r="I108" s="198"/>
      <c r="J108" s="198" t="s">
        <v>103</v>
      </c>
      <c r="K108" s="198"/>
      <c r="L108" s="199"/>
    </row>
    <row r="109" spans="1:12" ht="13.5" customHeight="1">
      <c r="A109" s="215" t="s">
        <v>104</v>
      </c>
      <c r="B109" s="216" t="s">
        <v>1329</v>
      </c>
      <c r="C109" s="856">
        <f>자재작업량!I192</f>
        <v>0.1</v>
      </c>
      <c r="D109" s="218" t="s">
        <v>1328</v>
      </c>
      <c r="E109" s="188">
        <f t="shared" ref="E109:F111" si="19">G109+I109+K109</f>
        <v>172068</v>
      </c>
      <c r="F109" s="187">
        <f t="shared" si="19"/>
        <v>17206</v>
      </c>
      <c r="G109" s="188">
        <f>G104</f>
        <v>172068</v>
      </c>
      <c r="H109" s="187">
        <f>INT(G109*C109)</f>
        <v>17206</v>
      </c>
      <c r="I109" s="188">
        <v>0</v>
      </c>
      <c r="J109" s="187">
        <f>INT(I109*C109)</f>
        <v>0</v>
      </c>
      <c r="K109" s="188">
        <v>0</v>
      </c>
      <c r="L109" s="187">
        <f>INT(K109*C109)</f>
        <v>0</v>
      </c>
    </row>
    <row r="110" spans="1:12" ht="13.5" customHeight="1">
      <c r="A110" s="183" t="s">
        <v>492</v>
      </c>
      <c r="B110" s="42" t="s">
        <v>2483</v>
      </c>
      <c r="C110" s="193">
        <v>1</v>
      </c>
      <c r="D110" s="185" t="s">
        <v>1776</v>
      </c>
      <c r="E110" s="192">
        <f t="shared" si="19"/>
        <v>14880</v>
      </c>
      <c r="F110" s="191">
        <f t="shared" si="19"/>
        <v>14880</v>
      </c>
      <c r="G110" s="192">
        <f>자재단위당!H26</f>
        <v>11101</v>
      </c>
      <c r="H110" s="191">
        <f>INT(G110*C110)</f>
        <v>11101</v>
      </c>
      <c r="I110" s="192">
        <f>자재단위당!I26</f>
        <v>3110</v>
      </c>
      <c r="J110" s="191">
        <f>INT(I110*C110)</f>
        <v>3110</v>
      </c>
      <c r="K110" s="192">
        <f>자재단위당!J26</f>
        <v>669</v>
      </c>
      <c r="L110" s="191">
        <f>INT(K110*C110)</f>
        <v>669</v>
      </c>
    </row>
    <row r="111" spans="1:12" ht="13.5" customHeight="1">
      <c r="A111" s="183" t="s">
        <v>493</v>
      </c>
      <c r="B111" s="42" t="s">
        <v>1329</v>
      </c>
      <c r="C111" s="193">
        <f>자재작업량!J192</f>
        <v>5.6000000000000001E-2</v>
      </c>
      <c r="D111" s="185" t="s">
        <v>1328</v>
      </c>
      <c r="E111" s="192">
        <f t="shared" si="19"/>
        <v>172068</v>
      </c>
      <c r="F111" s="191">
        <f t="shared" si="19"/>
        <v>9635</v>
      </c>
      <c r="G111" s="192">
        <f>G101</f>
        <v>172068</v>
      </c>
      <c r="H111" s="191">
        <f>INT(G111*C111)</f>
        <v>9635</v>
      </c>
      <c r="I111" s="192">
        <v>0</v>
      </c>
      <c r="J111" s="191">
        <f>INT(I111*C111)</f>
        <v>0</v>
      </c>
      <c r="K111" s="192">
        <v>0</v>
      </c>
      <c r="L111" s="191">
        <f>INT(K111*C111)</f>
        <v>0</v>
      </c>
    </row>
    <row r="112" spans="1:12" ht="13.5" customHeight="1">
      <c r="A112" s="168" t="s">
        <v>617</v>
      </c>
      <c r="B112" s="45"/>
      <c r="C112" s="219"/>
      <c r="D112" s="220"/>
      <c r="E112" s="197"/>
      <c r="F112" s="196">
        <f>H112+J112+L112</f>
        <v>41721</v>
      </c>
      <c r="G112" s="197"/>
      <c r="H112" s="196">
        <f>SUM(H109:H111)</f>
        <v>37942</v>
      </c>
      <c r="I112" s="197"/>
      <c r="J112" s="196">
        <f>SUM(J109:J111)</f>
        <v>3110</v>
      </c>
      <c r="K112" s="197"/>
      <c r="L112" s="196">
        <f>SUM(L109:L111)</f>
        <v>669</v>
      </c>
    </row>
    <row r="113" spans="1:12" ht="13.5" customHeight="1">
      <c r="A113" s="20"/>
      <c r="B113" s="127"/>
      <c r="C113" s="21"/>
      <c r="D113" s="58"/>
      <c r="E113" s="181">
        <f>E108+1</f>
        <v>21</v>
      </c>
      <c r="F113" s="198" t="s">
        <v>1780</v>
      </c>
      <c r="G113" s="198"/>
      <c r="H113" s="198"/>
      <c r="I113" s="198"/>
      <c r="J113" s="198" t="s">
        <v>103</v>
      </c>
      <c r="K113" s="198"/>
      <c r="L113" s="199"/>
    </row>
    <row r="114" spans="1:12" ht="13.5" customHeight="1">
      <c r="A114" s="183" t="s">
        <v>492</v>
      </c>
      <c r="B114" s="42" t="s">
        <v>1775</v>
      </c>
      <c r="C114" s="193">
        <v>1</v>
      </c>
      <c r="D114" s="185" t="s">
        <v>1776</v>
      </c>
      <c r="E114" s="192">
        <f>G114+I114+K114</f>
        <v>28761</v>
      </c>
      <c r="F114" s="191">
        <f>H114+J114+L114</f>
        <v>28761</v>
      </c>
      <c r="G114" s="192">
        <f>자재단위당!H27</f>
        <v>21456</v>
      </c>
      <c r="H114" s="191">
        <f>INT(G114*C114)</f>
        <v>21456</v>
      </c>
      <c r="I114" s="192">
        <f>자재단위당!I27</f>
        <v>6011</v>
      </c>
      <c r="J114" s="191">
        <f>INT(I114*C114)</f>
        <v>6011</v>
      </c>
      <c r="K114" s="192">
        <f>자재단위당!J27</f>
        <v>1294</v>
      </c>
      <c r="L114" s="191">
        <f>INT(K114*C114)</f>
        <v>1294</v>
      </c>
    </row>
    <row r="115" spans="1:12" ht="13.5" customHeight="1">
      <c r="A115" s="183" t="s">
        <v>493</v>
      </c>
      <c r="B115" s="42" t="s">
        <v>1329</v>
      </c>
      <c r="C115" s="193">
        <f>자재작업량!J193</f>
        <v>0</v>
      </c>
      <c r="D115" s="185" t="s">
        <v>1328</v>
      </c>
      <c r="E115" s="192">
        <f>G115+I115+K115</f>
        <v>172068</v>
      </c>
      <c r="F115" s="191">
        <f>H115+J115+L115</f>
        <v>0</v>
      </c>
      <c r="G115" s="192">
        <f>G111</f>
        <v>172068</v>
      </c>
      <c r="H115" s="191">
        <f>INT(G115*C115)</f>
        <v>0</v>
      </c>
      <c r="I115" s="192">
        <v>0</v>
      </c>
      <c r="J115" s="191">
        <f>INT(I115*C115)</f>
        <v>0</v>
      </c>
      <c r="K115" s="192">
        <v>0</v>
      </c>
      <c r="L115" s="191">
        <f>INT(K115*C115)</f>
        <v>0</v>
      </c>
    </row>
    <row r="116" spans="1:12" ht="13.5" customHeight="1">
      <c r="A116" s="168" t="s">
        <v>617</v>
      </c>
      <c r="B116" s="45"/>
      <c r="C116" s="219"/>
      <c r="D116" s="220"/>
      <c r="E116" s="197"/>
      <c r="F116" s="196">
        <f>H116+J116+L116</f>
        <v>28761</v>
      </c>
      <c r="G116" s="197"/>
      <c r="H116" s="196">
        <f>H115+H114</f>
        <v>21456</v>
      </c>
      <c r="I116" s="197"/>
      <c r="J116" s="196">
        <f>J115+J114</f>
        <v>6011</v>
      </c>
      <c r="K116" s="197"/>
      <c r="L116" s="196">
        <f>L115+L114</f>
        <v>1294</v>
      </c>
    </row>
    <row r="117" spans="1:12" ht="13.5" customHeight="1">
      <c r="A117" s="20"/>
      <c r="B117" s="127"/>
      <c r="C117" s="21"/>
      <c r="D117" s="58"/>
      <c r="E117" s="181">
        <f>E113+1</f>
        <v>22</v>
      </c>
      <c r="F117" s="198" t="s">
        <v>2513</v>
      </c>
      <c r="G117" s="198"/>
      <c r="H117" s="198"/>
      <c r="I117" s="198"/>
      <c r="J117" s="198" t="s">
        <v>103</v>
      </c>
      <c r="K117" s="198"/>
      <c r="L117" s="199"/>
    </row>
    <row r="118" spans="1:12" ht="13.5" customHeight="1">
      <c r="A118" s="215" t="s">
        <v>104</v>
      </c>
      <c r="B118" s="216" t="s">
        <v>1329</v>
      </c>
      <c r="C118" s="856">
        <f>자재작업량!I194</f>
        <v>0.16500000000000001</v>
      </c>
      <c r="D118" s="218" t="s">
        <v>1328</v>
      </c>
      <c r="E118" s="188">
        <f t="shared" ref="E118:F120" si="20">G118+I118+K118</f>
        <v>172068</v>
      </c>
      <c r="F118" s="187">
        <f t="shared" si="20"/>
        <v>28391</v>
      </c>
      <c r="G118" s="188">
        <f>G109</f>
        <v>172068</v>
      </c>
      <c r="H118" s="187">
        <f>INT(G118*C118)</f>
        <v>28391</v>
      </c>
      <c r="I118" s="188">
        <v>0</v>
      </c>
      <c r="J118" s="187">
        <f>INT(I118*C118)</f>
        <v>0</v>
      </c>
      <c r="K118" s="188">
        <v>0</v>
      </c>
      <c r="L118" s="187">
        <f>INT(K118*C118)</f>
        <v>0</v>
      </c>
    </row>
    <row r="119" spans="1:12" ht="13.5" customHeight="1">
      <c r="A119" s="183" t="s">
        <v>492</v>
      </c>
      <c r="B119" s="42" t="s">
        <v>36</v>
      </c>
      <c r="C119" s="193">
        <v>1</v>
      </c>
      <c r="D119" s="185" t="s">
        <v>14</v>
      </c>
      <c r="E119" s="192">
        <f t="shared" si="20"/>
        <v>24574</v>
      </c>
      <c r="F119" s="191">
        <f t="shared" si="20"/>
        <v>24574</v>
      </c>
      <c r="G119" s="192">
        <f>자재단위당!H28</f>
        <v>18332</v>
      </c>
      <c r="H119" s="191">
        <f>INT(G119*C119)</f>
        <v>18332</v>
      </c>
      <c r="I119" s="192">
        <f>자재단위당!I28</f>
        <v>5136</v>
      </c>
      <c r="J119" s="191">
        <f>INT(I119*C119)</f>
        <v>5136</v>
      </c>
      <c r="K119" s="192">
        <f>자재단위당!J28</f>
        <v>1106</v>
      </c>
      <c r="L119" s="191">
        <f>INT(K119*C119)</f>
        <v>1106</v>
      </c>
    </row>
    <row r="120" spans="1:12" ht="13.5" customHeight="1">
      <c r="A120" s="183" t="s">
        <v>493</v>
      </c>
      <c r="B120" s="42" t="s">
        <v>1329</v>
      </c>
      <c r="C120" s="193">
        <f>자재작업량!J194</f>
        <v>9.1999999999999998E-2</v>
      </c>
      <c r="D120" s="185" t="s">
        <v>1328</v>
      </c>
      <c r="E120" s="192">
        <f t="shared" si="20"/>
        <v>172068</v>
      </c>
      <c r="F120" s="191">
        <f t="shared" si="20"/>
        <v>15830</v>
      </c>
      <c r="G120" s="192">
        <f>G115</f>
        <v>172068</v>
      </c>
      <c r="H120" s="191">
        <f>INT(G120*C120)</f>
        <v>15830</v>
      </c>
      <c r="I120" s="192">
        <v>0</v>
      </c>
      <c r="J120" s="191">
        <f>INT(I120*C120)</f>
        <v>0</v>
      </c>
      <c r="K120" s="192">
        <v>0</v>
      </c>
      <c r="L120" s="191">
        <f>INT(K120*C120)</f>
        <v>0</v>
      </c>
    </row>
    <row r="121" spans="1:12" ht="13.5" customHeight="1">
      <c r="A121" s="168" t="s">
        <v>617</v>
      </c>
      <c r="B121" s="45"/>
      <c r="C121" s="219"/>
      <c r="D121" s="220"/>
      <c r="E121" s="197"/>
      <c r="F121" s="196">
        <f>H121+J121+L121</f>
        <v>68795</v>
      </c>
      <c r="G121" s="197"/>
      <c r="H121" s="196">
        <f>H120+H119+H118</f>
        <v>62553</v>
      </c>
      <c r="I121" s="197"/>
      <c r="J121" s="196">
        <f>J120+J119+J118</f>
        <v>5136</v>
      </c>
      <c r="K121" s="197"/>
      <c r="L121" s="196">
        <f>L120+L119+L118</f>
        <v>1106</v>
      </c>
    </row>
    <row r="122" spans="1:12" ht="13.5" customHeight="1">
      <c r="A122" s="20"/>
      <c r="B122" s="127"/>
      <c r="C122" s="21"/>
      <c r="D122" s="58"/>
      <c r="E122" s="181">
        <f>E117+1</f>
        <v>23</v>
      </c>
      <c r="F122" s="198" t="s">
        <v>113</v>
      </c>
      <c r="G122" s="198"/>
      <c r="H122" s="198"/>
      <c r="I122" s="198"/>
      <c r="J122" s="198" t="s">
        <v>103</v>
      </c>
      <c r="K122" s="198"/>
      <c r="L122" s="199"/>
    </row>
    <row r="123" spans="1:12" ht="13.5" customHeight="1">
      <c r="A123" s="183" t="s">
        <v>492</v>
      </c>
      <c r="B123" s="42" t="s">
        <v>614</v>
      </c>
      <c r="C123" s="193">
        <v>1</v>
      </c>
      <c r="D123" s="185" t="s">
        <v>105</v>
      </c>
      <c r="E123" s="192">
        <f>G123+I123+K123</f>
        <v>514</v>
      </c>
      <c r="F123" s="191">
        <f>H123+J123+L123</f>
        <v>514</v>
      </c>
      <c r="G123" s="192">
        <f>자재단위당!H29</f>
        <v>384</v>
      </c>
      <c r="H123" s="191">
        <f>INT(G123*C123)</f>
        <v>384</v>
      </c>
      <c r="I123" s="192">
        <f>자재단위당!I29</f>
        <v>107</v>
      </c>
      <c r="J123" s="191">
        <f>INT(I123*C123)</f>
        <v>107</v>
      </c>
      <c r="K123" s="192">
        <f>자재단위당!J29</f>
        <v>23</v>
      </c>
      <c r="L123" s="191">
        <f>INT(K123*C123)</f>
        <v>23</v>
      </c>
    </row>
    <row r="124" spans="1:12" ht="13.5" customHeight="1">
      <c r="A124" s="168" t="s">
        <v>617</v>
      </c>
      <c r="B124" s="45"/>
      <c r="C124" s="219"/>
      <c r="D124" s="220"/>
      <c r="E124" s="197"/>
      <c r="F124" s="196">
        <f>H124+J124+L124</f>
        <v>514</v>
      </c>
      <c r="G124" s="197"/>
      <c r="H124" s="196">
        <f>SUM(H123:H123)</f>
        <v>384</v>
      </c>
      <c r="I124" s="197"/>
      <c r="J124" s="196">
        <f>SUM(J123:J123)</f>
        <v>107</v>
      </c>
      <c r="K124" s="197"/>
      <c r="L124" s="196">
        <f>SUM(L123:L123)</f>
        <v>23</v>
      </c>
    </row>
    <row r="125" spans="1:12" ht="13.5" customHeight="1">
      <c r="A125" s="20"/>
      <c r="B125" s="127"/>
      <c r="C125" s="21"/>
      <c r="D125" s="58"/>
      <c r="E125" s="181">
        <f>E122+1</f>
        <v>24</v>
      </c>
      <c r="F125" s="198" t="s">
        <v>114</v>
      </c>
      <c r="G125" s="198"/>
      <c r="H125" s="198"/>
      <c r="I125" s="198"/>
      <c r="J125" s="198" t="s">
        <v>103</v>
      </c>
      <c r="K125" s="198"/>
      <c r="L125" s="199"/>
    </row>
    <row r="126" spans="1:12" ht="13.5" customHeight="1">
      <c r="A126" s="183" t="s">
        <v>492</v>
      </c>
      <c r="B126" s="42" t="s">
        <v>614</v>
      </c>
      <c r="C126" s="193">
        <v>1</v>
      </c>
      <c r="D126" s="185" t="s">
        <v>105</v>
      </c>
      <c r="E126" s="192">
        <f>G126+I126+K126</f>
        <v>701</v>
      </c>
      <c r="F126" s="191">
        <f>H126+J126+L126</f>
        <v>701</v>
      </c>
      <c r="G126" s="192">
        <f>자재단위당!H30</f>
        <v>524</v>
      </c>
      <c r="H126" s="191">
        <f>INT(G126*C126)</f>
        <v>524</v>
      </c>
      <c r="I126" s="192">
        <f>자재단위당!I30</f>
        <v>146</v>
      </c>
      <c r="J126" s="191">
        <f>INT(I126*C126)</f>
        <v>146</v>
      </c>
      <c r="K126" s="192">
        <f>자재단위당!J30</f>
        <v>31</v>
      </c>
      <c r="L126" s="191">
        <f>INT(K126*C126)</f>
        <v>31</v>
      </c>
    </row>
    <row r="127" spans="1:12" ht="13.5" customHeight="1">
      <c r="A127" s="168" t="s">
        <v>617</v>
      </c>
      <c r="B127" s="45"/>
      <c r="C127" s="219"/>
      <c r="D127" s="220"/>
      <c r="E127" s="197"/>
      <c r="F127" s="196">
        <f>H127+J127+L127</f>
        <v>701</v>
      </c>
      <c r="G127" s="197"/>
      <c r="H127" s="196">
        <f>SUM(H126:H126)</f>
        <v>524</v>
      </c>
      <c r="I127" s="197"/>
      <c r="J127" s="196">
        <f>SUM(J126:J126)</f>
        <v>146</v>
      </c>
      <c r="K127" s="197"/>
      <c r="L127" s="196">
        <f>SUM(L126:L126)</f>
        <v>31</v>
      </c>
    </row>
    <row r="128" spans="1:12" ht="13.5" customHeight="1">
      <c r="A128" s="20"/>
      <c r="B128" s="127"/>
      <c r="C128" s="21"/>
      <c r="D128" s="58"/>
      <c r="E128" s="181">
        <f>E125+1</f>
        <v>25</v>
      </c>
      <c r="F128" s="198" t="s">
        <v>115</v>
      </c>
      <c r="G128" s="198"/>
      <c r="H128" s="198"/>
      <c r="I128" s="198"/>
      <c r="J128" s="198" t="s">
        <v>103</v>
      </c>
      <c r="K128" s="198"/>
      <c r="L128" s="199"/>
    </row>
    <row r="129" spans="1:12" ht="13.5" customHeight="1">
      <c r="A129" s="183" t="s">
        <v>492</v>
      </c>
      <c r="B129" s="42" t="s">
        <v>614</v>
      </c>
      <c r="C129" s="193">
        <v>1</v>
      </c>
      <c r="D129" s="185" t="s">
        <v>105</v>
      </c>
      <c r="E129" s="192">
        <f>G129+I129+K129</f>
        <v>908</v>
      </c>
      <c r="F129" s="191">
        <f>H129+J129+L129</f>
        <v>908</v>
      </c>
      <c r="G129" s="192">
        <f>자재단위당!H31</f>
        <v>678</v>
      </c>
      <c r="H129" s="191">
        <f>INT(G129*C129)</f>
        <v>678</v>
      </c>
      <c r="I129" s="192">
        <f>자재단위당!I31</f>
        <v>190</v>
      </c>
      <c r="J129" s="191">
        <f>INT(I129*C129)</f>
        <v>190</v>
      </c>
      <c r="K129" s="192">
        <f>자재단위당!J31</f>
        <v>40</v>
      </c>
      <c r="L129" s="191">
        <f>INT(K129*C129)</f>
        <v>40</v>
      </c>
    </row>
    <row r="130" spans="1:12" ht="13.5" customHeight="1">
      <c r="A130" s="168" t="s">
        <v>617</v>
      </c>
      <c r="B130" s="45"/>
      <c r="C130" s="219"/>
      <c r="D130" s="220"/>
      <c r="E130" s="197"/>
      <c r="F130" s="196">
        <f>H130+J130+L130</f>
        <v>908</v>
      </c>
      <c r="G130" s="197"/>
      <c r="H130" s="196">
        <f>SUM(H129:H129)</f>
        <v>678</v>
      </c>
      <c r="I130" s="197"/>
      <c r="J130" s="196">
        <f>SUM(J129:J129)</f>
        <v>190</v>
      </c>
      <c r="K130" s="197"/>
      <c r="L130" s="196">
        <f>SUM(L129:L129)</f>
        <v>40</v>
      </c>
    </row>
    <row r="131" spans="1:12" ht="13.5" customHeight="1">
      <c r="A131" s="20"/>
      <c r="B131" s="127"/>
      <c r="C131" s="21"/>
      <c r="D131" s="58"/>
      <c r="E131" s="181">
        <f>E128+1</f>
        <v>26</v>
      </c>
      <c r="F131" s="198" t="s">
        <v>116</v>
      </c>
      <c r="G131" s="198"/>
      <c r="H131" s="198"/>
      <c r="I131" s="198"/>
      <c r="J131" s="198" t="s">
        <v>103</v>
      </c>
      <c r="K131" s="198"/>
      <c r="L131" s="199"/>
    </row>
    <row r="132" spans="1:12" ht="13.5" customHeight="1">
      <c r="A132" s="183" t="s">
        <v>492</v>
      </c>
      <c r="B132" s="42" t="s">
        <v>614</v>
      </c>
      <c r="C132" s="193">
        <v>1</v>
      </c>
      <c r="D132" s="185" t="s">
        <v>105</v>
      </c>
      <c r="E132" s="192">
        <f>G132+I132+K132</f>
        <v>1103</v>
      </c>
      <c r="F132" s="191">
        <f>H132+J132+L132</f>
        <v>1103</v>
      </c>
      <c r="G132" s="192">
        <f>자재단위당!H32</f>
        <v>824</v>
      </c>
      <c r="H132" s="191">
        <f>INT(G132*C132)</f>
        <v>824</v>
      </c>
      <c r="I132" s="192">
        <f>자재단위당!I32</f>
        <v>230</v>
      </c>
      <c r="J132" s="191">
        <f>INT(I132*C132)</f>
        <v>230</v>
      </c>
      <c r="K132" s="192">
        <f>자재단위당!J32</f>
        <v>49</v>
      </c>
      <c r="L132" s="191">
        <f>INT(K132*C132)</f>
        <v>49</v>
      </c>
    </row>
    <row r="133" spans="1:12" ht="13.5" customHeight="1">
      <c r="A133" s="168" t="s">
        <v>617</v>
      </c>
      <c r="B133" s="45"/>
      <c r="C133" s="219"/>
      <c r="D133" s="220"/>
      <c r="E133" s="197"/>
      <c r="F133" s="196">
        <f>H133+J133+L133</f>
        <v>1103</v>
      </c>
      <c r="G133" s="197"/>
      <c r="H133" s="196">
        <f>SUM(H132:H132)</f>
        <v>824</v>
      </c>
      <c r="I133" s="197"/>
      <c r="J133" s="196">
        <f>SUM(J132:J132)</f>
        <v>230</v>
      </c>
      <c r="K133" s="197"/>
      <c r="L133" s="196">
        <f>SUM(L132:L132)</f>
        <v>49</v>
      </c>
    </row>
    <row r="134" spans="1:12" ht="13.5" customHeight="1">
      <c r="A134" s="20"/>
      <c r="B134" s="127"/>
      <c r="C134" s="21"/>
      <c r="D134" s="58"/>
      <c r="E134" s="181">
        <f>E131+1</f>
        <v>27</v>
      </c>
      <c r="F134" s="198" t="s">
        <v>117</v>
      </c>
      <c r="G134" s="198"/>
      <c r="H134" s="198"/>
      <c r="I134" s="198"/>
      <c r="J134" s="198" t="s">
        <v>103</v>
      </c>
      <c r="K134" s="198"/>
      <c r="L134" s="199"/>
    </row>
    <row r="135" spans="1:12" ht="13.5" customHeight="1">
      <c r="A135" s="183" t="s">
        <v>492</v>
      </c>
      <c r="B135" s="42" t="s">
        <v>614</v>
      </c>
      <c r="C135" s="193">
        <v>1</v>
      </c>
      <c r="D135" s="185" t="s">
        <v>105</v>
      </c>
      <c r="E135" s="192">
        <f>G135+I135+K135</f>
        <v>1718</v>
      </c>
      <c r="F135" s="191">
        <f>H135+J135+L135</f>
        <v>1718</v>
      </c>
      <c r="G135" s="192">
        <f>자재단위당!H33</f>
        <v>1282</v>
      </c>
      <c r="H135" s="191">
        <f>INT(G135*C135)</f>
        <v>1282</v>
      </c>
      <c r="I135" s="192">
        <f>자재단위당!I33</f>
        <v>359</v>
      </c>
      <c r="J135" s="191">
        <f>INT(I135*C135)</f>
        <v>359</v>
      </c>
      <c r="K135" s="192">
        <f>자재단위당!J33</f>
        <v>77</v>
      </c>
      <c r="L135" s="191">
        <f>INT(K135*C135)</f>
        <v>77</v>
      </c>
    </row>
    <row r="136" spans="1:12" ht="13.5" customHeight="1">
      <c r="A136" s="168" t="s">
        <v>617</v>
      </c>
      <c r="B136" s="45"/>
      <c r="C136" s="219"/>
      <c r="D136" s="220"/>
      <c r="E136" s="197"/>
      <c r="F136" s="196">
        <f>H136+J136+L136</f>
        <v>1718</v>
      </c>
      <c r="G136" s="197"/>
      <c r="H136" s="196">
        <f>SUM(H135:H135)</f>
        <v>1282</v>
      </c>
      <c r="I136" s="197"/>
      <c r="J136" s="196">
        <f>SUM(J135:J135)</f>
        <v>359</v>
      </c>
      <c r="K136" s="197"/>
      <c r="L136" s="196">
        <f>SUM(L135:L135)</f>
        <v>77</v>
      </c>
    </row>
    <row r="137" spans="1:12" ht="13.5" customHeight="1">
      <c r="A137" s="20"/>
      <c r="B137" s="127"/>
      <c r="C137" s="21"/>
      <c r="D137" s="58"/>
      <c r="E137" s="181">
        <f>E134+1</f>
        <v>28</v>
      </c>
      <c r="F137" s="198" t="s">
        <v>2412</v>
      </c>
      <c r="G137" s="198"/>
      <c r="H137" s="198"/>
      <c r="I137" s="198"/>
      <c r="J137" s="198" t="s">
        <v>103</v>
      </c>
      <c r="K137" s="198"/>
      <c r="L137" s="199"/>
    </row>
    <row r="138" spans="1:12" ht="13.5" customHeight="1">
      <c r="A138" s="183" t="s">
        <v>492</v>
      </c>
      <c r="B138" s="42" t="s">
        <v>614</v>
      </c>
      <c r="C138" s="193">
        <v>1</v>
      </c>
      <c r="D138" s="185" t="s">
        <v>14</v>
      </c>
      <c r="E138" s="192">
        <f>G138+I138+K138</f>
        <v>2577</v>
      </c>
      <c r="F138" s="191">
        <f>H138+J138+L138</f>
        <v>2577</v>
      </c>
      <c r="G138" s="192">
        <f>자재단위당!H34</f>
        <v>1923</v>
      </c>
      <c r="H138" s="191">
        <f>INT(G138*C138)</f>
        <v>1923</v>
      </c>
      <c r="I138" s="192">
        <f>자재단위당!I34</f>
        <v>538</v>
      </c>
      <c r="J138" s="191">
        <f>INT(I138*C138)</f>
        <v>538</v>
      </c>
      <c r="K138" s="192">
        <f>자재단위당!J34</f>
        <v>116</v>
      </c>
      <c r="L138" s="191">
        <f>INT(K138*C138)</f>
        <v>116</v>
      </c>
    </row>
    <row r="139" spans="1:12" ht="13.5" customHeight="1">
      <c r="A139" s="168" t="s">
        <v>617</v>
      </c>
      <c r="B139" s="45"/>
      <c r="C139" s="219"/>
      <c r="D139" s="220"/>
      <c r="E139" s="197"/>
      <c r="F139" s="196">
        <f>H139+J139+L139</f>
        <v>2577</v>
      </c>
      <c r="G139" s="197"/>
      <c r="H139" s="196">
        <f>SUM(H138:H138)</f>
        <v>1923</v>
      </c>
      <c r="I139" s="197"/>
      <c r="J139" s="196">
        <f>SUM(J138:J138)</f>
        <v>538</v>
      </c>
      <c r="K139" s="197"/>
      <c r="L139" s="196">
        <f>SUM(L138:L138)</f>
        <v>116</v>
      </c>
    </row>
  </sheetData>
  <customSheetViews>
    <customSheetView guid="{D73D5080-A04E-11D4-B8A5-00609727EAB1}" showPageBreaks="1" showRuler="0" topLeftCell="A20">
      <selection activeCell="H9" sqref="H9"/>
      <pageMargins left="0.5" right="0.48" top="1" bottom="1" header="0.5" footer="0.5"/>
      <pageSetup paperSize="9" orientation="landscape" horizontalDpi="300" verticalDpi="300" r:id="rId1"/>
      <headerFooter alignWithMargins="0"/>
    </customSheetView>
    <customSheetView guid="{2D877E0D-A04C-11D4-947E-00001C044B2C}" showRuler="0" topLeftCell="A148">
      <selection activeCell="F152" sqref="F152"/>
      <pageMargins left="0.5" right="0.48" top="1" bottom="1" header="0.5" footer="0.5"/>
      <pageSetup paperSize="9" orientation="landscape" horizontalDpi="300" verticalDpi="300" r:id="rId2"/>
      <headerFooter alignWithMargins="0"/>
    </customSheetView>
    <customSheetView guid="{6F21C780-A002-11D4-A1D9-00104BD549C6}" showRuler="0" topLeftCell="A148">
      <selection activeCell="F152" sqref="F152"/>
      <pageMargins left="0.5" right="0.48" top="1" bottom="1" header="0.5" footer="0.5"/>
      <pageSetup paperSize="9" orientation="landscape" horizontalDpi="300" verticalDpi="300" r:id="rId3"/>
      <headerFooter alignWithMargins="0"/>
    </customSheetView>
  </customSheetViews>
  <mergeCells count="7">
    <mergeCell ref="I2:J2"/>
    <mergeCell ref="K2:L2"/>
    <mergeCell ref="A2:A3"/>
    <mergeCell ref="D2:D3"/>
    <mergeCell ref="C2:C3"/>
    <mergeCell ref="E2:F2"/>
    <mergeCell ref="G2:H2"/>
  </mergeCells>
  <phoneticPr fontId="3" type="noConversion"/>
  <printOptions horizontalCentered="1"/>
  <pageMargins left="0.39370078740157483" right="0.39370078740157483" top="0.69" bottom="0.44" header="0.39370078740157483" footer="0.39370078740157483"/>
  <pageSetup paperSize="9" orientation="landscape" r:id="rId4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2"/>
  <dimension ref="A1:K34"/>
  <sheetViews>
    <sheetView workbookViewId="0">
      <selection activeCell="B8" sqref="B8"/>
    </sheetView>
  </sheetViews>
  <sheetFormatPr defaultColWidth="8.88671875" defaultRowHeight="18.600000000000001" customHeight="1"/>
  <cols>
    <col min="1" max="1" width="20.88671875" style="29" customWidth="1"/>
    <col min="2" max="2" width="16.77734375" style="29" customWidth="1"/>
    <col min="3" max="5" width="9" style="29" bestFit="1" customWidth="1"/>
    <col min="6" max="6" width="8.5546875" style="10" customWidth="1"/>
    <col min="7" max="7" width="6.109375" style="28" customWidth="1"/>
    <col min="8" max="11" width="9" style="29" bestFit="1" customWidth="1"/>
    <col min="12" max="16384" width="8.88671875" style="10"/>
  </cols>
  <sheetData>
    <row r="1" spans="1:11" ht="18.600000000000001" customHeight="1">
      <c r="A1" s="62" t="s">
        <v>5</v>
      </c>
      <c r="B1" s="176"/>
      <c r="C1" s="176"/>
      <c r="D1" s="176"/>
      <c r="E1" s="176"/>
      <c r="F1" s="176"/>
      <c r="G1" s="176"/>
      <c r="H1" s="176"/>
      <c r="I1" s="176"/>
      <c r="J1" s="26"/>
      <c r="K1" s="26"/>
    </row>
    <row r="2" spans="1:11" ht="18.600000000000001" customHeight="1">
      <c r="A2" s="1104" t="s">
        <v>6</v>
      </c>
      <c r="B2" s="1104" t="s">
        <v>7</v>
      </c>
      <c r="C2" s="1110" t="s">
        <v>199</v>
      </c>
      <c r="D2" s="1112"/>
      <c r="E2" s="1111"/>
      <c r="F2" s="1113" t="s">
        <v>200</v>
      </c>
      <c r="G2" s="1114"/>
      <c r="H2" s="1110" t="s">
        <v>1026</v>
      </c>
      <c r="I2" s="1112"/>
      <c r="J2" s="1112"/>
      <c r="K2" s="1111"/>
    </row>
    <row r="3" spans="1:11" ht="18.600000000000001" customHeight="1">
      <c r="A3" s="1104"/>
      <c r="B3" s="1104"/>
      <c r="C3" s="604" t="s">
        <v>641</v>
      </c>
      <c r="D3" s="604" t="s">
        <v>1021</v>
      </c>
      <c r="E3" s="604" t="s">
        <v>1027</v>
      </c>
      <c r="F3" s="600" t="s">
        <v>1008</v>
      </c>
      <c r="G3" s="600" t="s">
        <v>1011</v>
      </c>
      <c r="H3" s="604" t="s">
        <v>641</v>
      </c>
      <c r="I3" s="604" t="s">
        <v>1021</v>
      </c>
      <c r="J3" s="604" t="s">
        <v>1027</v>
      </c>
      <c r="K3" s="604" t="s">
        <v>617</v>
      </c>
    </row>
    <row r="4" spans="1:11" ht="18.600000000000001" customHeight="1">
      <c r="A4" s="27" t="s">
        <v>74</v>
      </c>
      <c r="B4" s="27" t="s">
        <v>614</v>
      </c>
      <c r="C4" s="27">
        <f>중기일람!D28</f>
        <v>35608</v>
      </c>
      <c r="D4" s="27">
        <f>중기일람!E28</f>
        <v>2384</v>
      </c>
      <c r="E4" s="27">
        <f>중기일람!F28</f>
        <v>630</v>
      </c>
      <c r="F4" s="177">
        <f>자재작업량!G14</f>
        <v>4.33</v>
      </c>
      <c r="G4" s="1" t="s">
        <v>1013</v>
      </c>
      <c r="H4" s="27">
        <f t="shared" ref="H4:H33" si="0">INT(C4/F4)</f>
        <v>8223</v>
      </c>
      <c r="I4" s="27">
        <f t="shared" ref="I4:I33" si="1">INT(D4/F4)</f>
        <v>550</v>
      </c>
      <c r="J4" s="27">
        <f t="shared" ref="J4:J33" si="2">INT(E4/F4)</f>
        <v>145</v>
      </c>
      <c r="K4" s="27">
        <f>SUM(H4:J4)</f>
        <v>8918</v>
      </c>
    </row>
    <row r="5" spans="1:11" ht="18.600000000000001" customHeight="1">
      <c r="A5" s="27" t="s">
        <v>75</v>
      </c>
      <c r="B5" s="27" t="s">
        <v>614</v>
      </c>
      <c r="C5" s="27">
        <f>중기일람!D28</f>
        <v>35608</v>
      </c>
      <c r="D5" s="27">
        <f>중기일람!E28*자재작업량!L29</f>
        <v>283.69599999999997</v>
      </c>
      <c r="E5" s="27">
        <f>중기일람!F28</f>
        <v>630</v>
      </c>
      <c r="F5" s="177">
        <f>자재작업량!F30</f>
        <v>4.33</v>
      </c>
      <c r="G5" s="1" t="s">
        <v>1013</v>
      </c>
      <c r="H5" s="27">
        <f t="shared" si="0"/>
        <v>8223</v>
      </c>
      <c r="I5" s="27">
        <f t="shared" si="1"/>
        <v>65</v>
      </c>
      <c r="J5" s="27">
        <f t="shared" si="2"/>
        <v>145</v>
      </c>
      <c r="K5" s="27">
        <f t="shared" ref="K5:K33" si="3">SUM(H5:J5)</f>
        <v>8433</v>
      </c>
    </row>
    <row r="6" spans="1:11" ht="18.600000000000001" customHeight="1">
      <c r="A6" s="27" t="s">
        <v>76</v>
      </c>
      <c r="B6" s="27" t="s">
        <v>614</v>
      </c>
      <c r="C6" s="27">
        <f>중기일람!D28</f>
        <v>35608</v>
      </c>
      <c r="D6" s="27">
        <f>중기일람!E28*자재작업량!L47</f>
        <v>283.69599999999997</v>
      </c>
      <c r="E6" s="27">
        <f>중기일람!F28</f>
        <v>630</v>
      </c>
      <c r="F6" s="177">
        <f>자재작업량!F48</f>
        <v>7.44</v>
      </c>
      <c r="G6" s="1" t="s">
        <v>1014</v>
      </c>
      <c r="H6" s="27">
        <f t="shared" si="0"/>
        <v>4786</v>
      </c>
      <c r="I6" s="27">
        <f t="shared" si="1"/>
        <v>38</v>
      </c>
      <c r="J6" s="27">
        <f t="shared" si="2"/>
        <v>84</v>
      </c>
      <c r="K6" s="27">
        <f t="shared" si="3"/>
        <v>4908</v>
      </c>
    </row>
    <row r="7" spans="1:11" ht="18.600000000000001" customHeight="1">
      <c r="A7" s="27" t="s">
        <v>77</v>
      </c>
      <c r="B7" s="27" t="s">
        <v>614</v>
      </c>
      <c r="C7" s="27">
        <f>중기일람!D28</f>
        <v>35608</v>
      </c>
      <c r="D7" s="27">
        <f>중기일람!E28*자재작업량!F65</f>
        <v>283.69599999999997</v>
      </c>
      <c r="E7" s="27">
        <f>중기일람!F28</f>
        <v>630</v>
      </c>
      <c r="F7" s="177">
        <f>자재작업량!G66</f>
        <v>4.33</v>
      </c>
      <c r="G7" s="1" t="s">
        <v>1013</v>
      </c>
      <c r="H7" s="27">
        <f t="shared" si="0"/>
        <v>8223</v>
      </c>
      <c r="I7" s="27">
        <f t="shared" si="1"/>
        <v>65</v>
      </c>
      <c r="J7" s="27">
        <f t="shared" si="2"/>
        <v>145</v>
      </c>
      <c r="K7" s="27">
        <f t="shared" si="3"/>
        <v>8433</v>
      </c>
    </row>
    <row r="8" spans="1:11" ht="18.600000000000001" customHeight="1">
      <c r="A8" s="27" t="s">
        <v>78</v>
      </c>
      <c r="B8" s="27" t="s">
        <v>79</v>
      </c>
      <c r="C8" s="27">
        <f>중기일람!D17</f>
        <v>57077</v>
      </c>
      <c r="D8" s="27">
        <f>중기일람!E17</f>
        <v>33535</v>
      </c>
      <c r="E8" s="27">
        <f>중기일람!F17</f>
        <v>18567</v>
      </c>
      <c r="F8" s="177">
        <f>자재작업량!F84</f>
        <v>15.64</v>
      </c>
      <c r="G8" s="1" t="s">
        <v>1013</v>
      </c>
      <c r="H8" s="27">
        <f t="shared" si="0"/>
        <v>3649</v>
      </c>
      <c r="I8" s="27">
        <f t="shared" si="1"/>
        <v>2144</v>
      </c>
      <c r="J8" s="27">
        <f t="shared" si="2"/>
        <v>1187</v>
      </c>
      <c r="K8" s="27">
        <f t="shared" si="3"/>
        <v>6980</v>
      </c>
    </row>
    <row r="9" spans="1:11" ht="18.600000000000001" customHeight="1">
      <c r="A9" s="27" t="s">
        <v>1028</v>
      </c>
      <c r="B9" s="27" t="s">
        <v>614</v>
      </c>
      <c r="C9" s="27">
        <f>중기일람!D28</f>
        <v>35608</v>
      </c>
      <c r="D9" s="27">
        <f>중기일람!E28*자재작업량!F91</f>
        <v>283.69599999999997</v>
      </c>
      <c r="E9" s="27">
        <f>중기일람!F28</f>
        <v>630</v>
      </c>
      <c r="F9" s="177">
        <f>자재작업량!F92</f>
        <v>4.33</v>
      </c>
      <c r="G9" s="1" t="s">
        <v>1013</v>
      </c>
      <c r="H9" s="27">
        <f>INT(C9/F9)</f>
        <v>8223</v>
      </c>
      <c r="I9" s="27">
        <f t="shared" si="1"/>
        <v>65</v>
      </c>
      <c r="J9" s="27">
        <f t="shared" si="2"/>
        <v>145</v>
      </c>
      <c r="K9" s="27">
        <f t="shared" si="3"/>
        <v>8433</v>
      </c>
    </row>
    <row r="10" spans="1:11" ht="18.600000000000001" customHeight="1">
      <c r="A10" s="27" t="s">
        <v>80</v>
      </c>
      <c r="B10" s="27" t="s">
        <v>1029</v>
      </c>
      <c r="C10" s="27">
        <f>중기일람!D17</f>
        <v>57077</v>
      </c>
      <c r="D10" s="27">
        <f>중기일람!E17</f>
        <v>33535</v>
      </c>
      <c r="E10" s="27">
        <f>중기일람!F17</f>
        <v>18567</v>
      </c>
      <c r="F10" s="177">
        <f>자재작업량!F110</f>
        <v>27.33</v>
      </c>
      <c r="G10" s="1" t="s">
        <v>1013</v>
      </c>
      <c r="H10" s="27">
        <f t="shared" si="0"/>
        <v>2088</v>
      </c>
      <c r="I10" s="27">
        <f t="shared" si="1"/>
        <v>1227</v>
      </c>
      <c r="J10" s="27">
        <f t="shared" si="2"/>
        <v>679</v>
      </c>
      <c r="K10" s="27">
        <f t="shared" si="3"/>
        <v>3994</v>
      </c>
    </row>
    <row r="11" spans="1:11" ht="18.600000000000001" customHeight="1">
      <c r="A11" s="27" t="s">
        <v>81</v>
      </c>
      <c r="B11" s="27" t="s">
        <v>614</v>
      </c>
      <c r="C11" s="27">
        <f>중기일람!D28</f>
        <v>35608</v>
      </c>
      <c r="D11" s="27">
        <f>중기일람!E28*자재작업량!F117</f>
        <v>243.16799999999998</v>
      </c>
      <c r="E11" s="27">
        <f>중기일람!F28</f>
        <v>630</v>
      </c>
      <c r="F11" s="177">
        <f>자재작업량!F118</f>
        <v>3.73</v>
      </c>
      <c r="G11" s="1" t="s">
        <v>1013</v>
      </c>
      <c r="H11" s="27">
        <f t="shared" si="0"/>
        <v>9546</v>
      </c>
      <c r="I11" s="27">
        <f t="shared" si="1"/>
        <v>65</v>
      </c>
      <c r="J11" s="27">
        <f t="shared" si="2"/>
        <v>168</v>
      </c>
      <c r="K11" s="27">
        <f t="shared" si="3"/>
        <v>9779</v>
      </c>
    </row>
    <row r="12" spans="1:11" ht="18.600000000000001" customHeight="1">
      <c r="A12" s="27" t="s">
        <v>82</v>
      </c>
      <c r="B12" s="27" t="s">
        <v>1029</v>
      </c>
      <c r="C12" s="27">
        <f>중기일람!D17</f>
        <v>57077</v>
      </c>
      <c r="D12" s="27">
        <f>중기일람!E17</f>
        <v>33535</v>
      </c>
      <c r="E12" s="27">
        <f>중기일람!F17</f>
        <v>18567</v>
      </c>
      <c r="F12" s="177">
        <f>자재작업량!F134</f>
        <v>9.49</v>
      </c>
      <c r="G12" s="1" t="s">
        <v>1014</v>
      </c>
      <c r="H12" s="27">
        <f t="shared" si="0"/>
        <v>6014</v>
      </c>
      <c r="I12" s="27">
        <f t="shared" si="1"/>
        <v>3533</v>
      </c>
      <c r="J12" s="27">
        <f t="shared" si="2"/>
        <v>1956</v>
      </c>
      <c r="K12" s="27">
        <f t="shared" si="3"/>
        <v>11503</v>
      </c>
    </row>
    <row r="13" spans="1:11" ht="18.600000000000001" customHeight="1">
      <c r="A13" s="27" t="s">
        <v>83</v>
      </c>
      <c r="B13" s="27" t="s">
        <v>614</v>
      </c>
      <c r="C13" s="27">
        <f>중기일람!D28</f>
        <v>35608</v>
      </c>
      <c r="D13" s="27">
        <f>INT(중기일람!E28*자재작업량!G140)</f>
        <v>243</v>
      </c>
      <c r="E13" s="27">
        <f>중기일람!F28</f>
        <v>630</v>
      </c>
      <c r="F13" s="177">
        <f>자재작업량!G141</f>
        <v>2.36</v>
      </c>
      <c r="G13" s="1" t="s">
        <v>1014</v>
      </c>
      <c r="H13" s="27">
        <f t="shared" si="0"/>
        <v>15088</v>
      </c>
      <c r="I13" s="27">
        <f t="shared" si="1"/>
        <v>102</v>
      </c>
      <c r="J13" s="27">
        <f t="shared" si="2"/>
        <v>266</v>
      </c>
      <c r="K13" s="27">
        <f t="shared" si="3"/>
        <v>15456</v>
      </c>
    </row>
    <row r="14" spans="1:11" ht="18.600000000000001" customHeight="1">
      <c r="A14" s="27" t="s">
        <v>84</v>
      </c>
      <c r="B14" s="27" t="s">
        <v>614</v>
      </c>
      <c r="C14" s="27">
        <f>중기일람!D28</f>
        <v>35608</v>
      </c>
      <c r="D14" s="27">
        <f>INT(중기일람!E28*자재작업량!G140)</f>
        <v>243</v>
      </c>
      <c r="E14" s="27">
        <f>중기일람!F28</f>
        <v>630</v>
      </c>
      <c r="F14" s="177">
        <f>자재작업량!G167</f>
        <v>1.96</v>
      </c>
      <c r="G14" s="1" t="s">
        <v>1014</v>
      </c>
      <c r="H14" s="27">
        <f t="shared" si="0"/>
        <v>18167</v>
      </c>
      <c r="I14" s="27">
        <f t="shared" si="1"/>
        <v>123</v>
      </c>
      <c r="J14" s="27">
        <f t="shared" si="2"/>
        <v>321</v>
      </c>
      <c r="K14" s="27">
        <f t="shared" si="3"/>
        <v>18611</v>
      </c>
    </row>
    <row r="15" spans="1:11" ht="18.600000000000001" customHeight="1">
      <c r="A15" s="27" t="s">
        <v>85</v>
      </c>
      <c r="B15" s="841" t="s">
        <v>2484</v>
      </c>
      <c r="C15" s="27">
        <f>중기일람!D39</f>
        <v>47849</v>
      </c>
      <c r="D15" s="27">
        <f>중기일람!E39</f>
        <v>13406</v>
      </c>
      <c r="E15" s="27">
        <f>중기일람!F39</f>
        <v>2887</v>
      </c>
      <c r="F15" s="177">
        <f>자재작업량!H181</f>
        <v>23.39</v>
      </c>
      <c r="G15" s="1" t="s">
        <v>86</v>
      </c>
      <c r="H15" s="27">
        <f>INT(C15/F15)</f>
        <v>2045</v>
      </c>
      <c r="I15" s="27">
        <f t="shared" si="1"/>
        <v>573</v>
      </c>
      <c r="J15" s="27">
        <f t="shared" si="2"/>
        <v>123</v>
      </c>
      <c r="K15" s="27">
        <f t="shared" si="3"/>
        <v>2741</v>
      </c>
    </row>
    <row r="16" spans="1:11" ht="18.600000000000001" customHeight="1">
      <c r="A16" s="27" t="s">
        <v>87</v>
      </c>
      <c r="B16" s="130" t="s">
        <v>2484</v>
      </c>
      <c r="C16" s="27">
        <f>C15</f>
        <v>47849</v>
      </c>
      <c r="D16" s="27">
        <f>D15</f>
        <v>13406</v>
      </c>
      <c r="E16" s="27">
        <f>E15</f>
        <v>2887</v>
      </c>
      <c r="F16" s="177">
        <f>자재작업량!H182</f>
        <v>16.420000000000002</v>
      </c>
      <c r="G16" s="1" t="s">
        <v>86</v>
      </c>
      <c r="H16" s="27">
        <f>INT(C16/F16)</f>
        <v>2914</v>
      </c>
      <c r="I16" s="27">
        <f t="shared" si="1"/>
        <v>816</v>
      </c>
      <c r="J16" s="27">
        <f t="shared" si="2"/>
        <v>175</v>
      </c>
      <c r="K16" s="27">
        <f t="shared" si="3"/>
        <v>3905</v>
      </c>
    </row>
    <row r="17" spans="1:11" ht="18.600000000000001" customHeight="1">
      <c r="A17" s="27" t="s">
        <v>1083</v>
      </c>
      <c r="B17" s="130" t="s">
        <v>2484</v>
      </c>
      <c r="C17" s="27">
        <f t="shared" ref="C17:C34" si="4">C16</f>
        <v>47849</v>
      </c>
      <c r="D17" s="27">
        <f t="shared" ref="D17:D34" si="5">D16</f>
        <v>13406</v>
      </c>
      <c r="E17" s="27">
        <f t="shared" ref="E17:E34" si="6">E16</f>
        <v>2887</v>
      </c>
      <c r="F17" s="177">
        <f>자재작업량!H183</f>
        <v>9.33</v>
      </c>
      <c r="G17" s="1" t="s">
        <v>86</v>
      </c>
      <c r="H17" s="27">
        <f>INT(C17/F17)</f>
        <v>5128</v>
      </c>
      <c r="I17" s="27">
        <f>INT(D17/F17)</f>
        <v>1436</v>
      </c>
      <c r="J17" s="27">
        <f>INT(E17/F17)</f>
        <v>309</v>
      </c>
      <c r="K17" s="27">
        <f>SUM(H17:J17)</f>
        <v>6873</v>
      </c>
    </row>
    <row r="18" spans="1:11" ht="18.600000000000001" customHeight="1">
      <c r="A18" s="27" t="s">
        <v>1084</v>
      </c>
      <c r="B18" s="130" t="s">
        <v>2484</v>
      </c>
      <c r="C18" s="27">
        <f t="shared" si="4"/>
        <v>47849</v>
      </c>
      <c r="D18" s="27">
        <f t="shared" si="5"/>
        <v>13406</v>
      </c>
      <c r="E18" s="27">
        <f t="shared" si="6"/>
        <v>2887</v>
      </c>
      <c r="F18" s="177">
        <f>자재작업량!H184</f>
        <v>6.01</v>
      </c>
      <c r="G18" s="1" t="s">
        <v>86</v>
      </c>
      <c r="H18" s="27">
        <f>INT(C18/F18)</f>
        <v>7961</v>
      </c>
      <c r="I18" s="27">
        <f>INT(D18/F18)</f>
        <v>2230</v>
      </c>
      <c r="J18" s="27">
        <f>INT(E18/F18)</f>
        <v>480</v>
      </c>
      <c r="K18" s="27">
        <f>SUM(H18:J18)</f>
        <v>10671</v>
      </c>
    </row>
    <row r="19" spans="1:11" ht="18.600000000000001" customHeight="1">
      <c r="A19" s="27" t="s">
        <v>88</v>
      </c>
      <c r="B19" s="130" t="s">
        <v>2484</v>
      </c>
      <c r="C19" s="27">
        <f t="shared" si="4"/>
        <v>47849</v>
      </c>
      <c r="D19" s="27">
        <f t="shared" si="5"/>
        <v>13406</v>
      </c>
      <c r="E19" s="27">
        <f t="shared" si="6"/>
        <v>2887</v>
      </c>
      <c r="F19" s="177">
        <f>자재작업량!H185</f>
        <v>25.34</v>
      </c>
      <c r="G19" s="1" t="s">
        <v>86</v>
      </c>
      <c r="H19" s="27">
        <f>INT(C19/F19)</f>
        <v>1888</v>
      </c>
      <c r="I19" s="27">
        <f>INT(D19/F19)</f>
        <v>529</v>
      </c>
      <c r="J19" s="27">
        <f>INT(E19/F19)</f>
        <v>113</v>
      </c>
      <c r="K19" s="27">
        <f>SUM(H19:J19)</f>
        <v>2530</v>
      </c>
    </row>
    <row r="20" spans="1:11" ht="18.600000000000001" customHeight="1">
      <c r="A20" s="27" t="s">
        <v>89</v>
      </c>
      <c r="B20" s="130" t="s">
        <v>2484</v>
      </c>
      <c r="C20" s="27">
        <f t="shared" si="4"/>
        <v>47849</v>
      </c>
      <c r="D20" s="27">
        <f t="shared" si="5"/>
        <v>13406</v>
      </c>
      <c r="E20" s="27">
        <f t="shared" si="6"/>
        <v>2887</v>
      </c>
      <c r="F20" s="177">
        <f>자재작업량!H186</f>
        <v>19.07</v>
      </c>
      <c r="G20" s="1" t="s">
        <v>86</v>
      </c>
      <c r="H20" s="27">
        <f t="shared" si="0"/>
        <v>2509</v>
      </c>
      <c r="I20" s="27">
        <f t="shared" si="1"/>
        <v>702</v>
      </c>
      <c r="J20" s="27">
        <f t="shared" si="2"/>
        <v>151</v>
      </c>
      <c r="K20" s="27">
        <f t="shared" si="3"/>
        <v>3362</v>
      </c>
    </row>
    <row r="21" spans="1:11" ht="18.600000000000001" customHeight="1">
      <c r="A21" s="27" t="s">
        <v>90</v>
      </c>
      <c r="B21" s="130" t="s">
        <v>2484</v>
      </c>
      <c r="C21" s="27">
        <f t="shared" si="4"/>
        <v>47849</v>
      </c>
      <c r="D21" s="27">
        <f t="shared" si="5"/>
        <v>13406</v>
      </c>
      <c r="E21" s="27">
        <f t="shared" si="6"/>
        <v>2887</v>
      </c>
      <c r="F21" s="177">
        <f>자재작업량!H187</f>
        <v>16.5</v>
      </c>
      <c r="G21" s="1" t="s">
        <v>86</v>
      </c>
      <c r="H21" s="27">
        <f t="shared" si="0"/>
        <v>2899</v>
      </c>
      <c r="I21" s="27">
        <f t="shared" si="1"/>
        <v>812</v>
      </c>
      <c r="J21" s="27">
        <f t="shared" si="2"/>
        <v>174</v>
      </c>
      <c r="K21" s="27">
        <f t="shared" si="3"/>
        <v>3885</v>
      </c>
    </row>
    <row r="22" spans="1:11" ht="18.600000000000001" customHeight="1">
      <c r="A22" s="27" t="s">
        <v>91</v>
      </c>
      <c r="B22" s="130" t="s">
        <v>2484</v>
      </c>
      <c r="C22" s="27">
        <f t="shared" si="4"/>
        <v>47849</v>
      </c>
      <c r="D22" s="27">
        <f t="shared" si="5"/>
        <v>13406</v>
      </c>
      <c r="E22" s="27">
        <f t="shared" si="6"/>
        <v>2887</v>
      </c>
      <c r="F22" s="177">
        <f>자재작업량!H188</f>
        <v>13.89</v>
      </c>
      <c r="G22" s="1" t="s">
        <v>86</v>
      </c>
      <c r="H22" s="27">
        <f t="shared" ref="H22:H27" si="7">INT(C22/F22)</f>
        <v>3444</v>
      </c>
      <c r="I22" s="27">
        <f t="shared" ref="I22:I27" si="8">INT(D22/F22)</f>
        <v>965</v>
      </c>
      <c r="J22" s="27">
        <f t="shared" ref="J22:J27" si="9">INT(E22/F22)</f>
        <v>207</v>
      </c>
      <c r="K22" s="27">
        <f t="shared" ref="K22:K27" si="10">SUM(H22:J22)</f>
        <v>4616</v>
      </c>
    </row>
    <row r="23" spans="1:11" ht="18.600000000000001" customHeight="1">
      <c r="A23" s="27" t="s">
        <v>92</v>
      </c>
      <c r="B23" s="130" t="s">
        <v>2484</v>
      </c>
      <c r="C23" s="27">
        <f t="shared" si="4"/>
        <v>47849</v>
      </c>
      <c r="D23" s="27">
        <f t="shared" si="5"/>
        <v>13406</v>
      </c>
      <c r="E23" s="27">
        <f t="shared" si="6"/>
        <v>2887</v>
      </c>
      <c r="F23" s="177">
        <f>자재작업량!H189</f>
        <v>10.74</v>
      </c>
      <c r="G23" s="1" t="s">
        <v>86</v>
      </c>
      <c r="H23" s="27">
        <f t="shared" si="7"/>
        <v>4455</v>
      </c>
      <c r="I23" s="27">
        <f t="shared" si="8"/>
        <v>1248</v>
      </c>
      <c r="J23" s="27">
        <f t="shared" si="9"/>
        <v>268</v>
      </c>
      <c r="K23" s="27">
        <f t="shared" si="10"/>
        <v>5971</v>
      </c>
    </row>
    <row r="24" spans="1:11" ht="18.600000000000001" customHeight="1">
      <c r="A24" s="27" t="s">
        <v>1773</v>
      </c>
      <c r="B24" s="130" t="s">
        <v>2484</v>
      </c>
      <c r="C24" s="27">
        <f t="shared" si="4"/>
        <v>47849</v>
      </c>
      <c r="D24" s="27">
        <f t="shared" si="5"/>
        <v>13406</v>
      </c>
      <c r="E24" s="27">
        <f t="shared" si="6"/>
        <v>2887</v>
      </c>
      <c r="F24" s="177">
        <f>자재작업량!H190</f>
        <v>7.13</v>
      </c>
      <c r="G24" s="1" t="s">
        <v>14</v>
      </c>
      <c r="H24" s="27">
        <f t="shared" si="7"/>
        <v>6710</v>
      </c>
      <c r="I24" s="27">
        <f t="shared" si="8"/>
        <v>1880</v>
      </c>
      <c r="J24" s="27">
        <f t="shared" si="9"/>
        <v>404</v>
      </c>
      <c r="K24" s="27">
        <f t="shared" si="10"/>
        <v>8994</v>
      </c>
    </row>
    <row r="25" spans="1:11" ht="18.600000000000001" customHeight="1">
      <c r="A25" s="27" t="s">
        <v>1789</v>
      </c>
      <c r="B25" s="130" t="s">
        <v>2484</v>
      </c>
      <c r="C25" s="27">
        <f t="shared" si="4"/>
        <v>47849</v>
      </c>
      <c r="D25" s="27">
        <f t="shared" si="5"/>
        <v>13406</v>
      </c>
      <c r="E25" s="27">
        <f t="shared" si="6"/>
        <v>2887</v>
      </c>
      <c r="F25" s="177">
        <f>자재작업량!H191</f>
        <v>5.59</v>
      </c>
      <c r="G25" s="1" t="s">
        <v>14</v>
      </c>
      <c r="H25" s="27">
        <f t="shared" si="7"/>
        <v>8559</v>
      </c>
      <c r="I25" s="27">
        <f t="shared" si="8"/>
        <v>2398</v>
      </c>
      <c r="J25" s="27">
        <f t="shared" si="9"/>
        <v>516</v>
      </c>
      <c r="K25" s="27">
        <f t="shared" si="10"/>
        <v>11473</v>
      </c>
    </row>
    <row r="26" spans="1:11" ht="18.600000000000001" customHeight="1">
      <c r="A26" s="27" t="s">
        <v>1825</v>
      </c>
      <c r="B26" s="130" t="s">
        <v>2484</v>
      </c>
      <c r="C26" s="27">
        <f t="shared" si="4"/>
        <v>47849</v>
      </c>
      <c r="D26" s="27">
        <f t="shared" si="5"/>
        <v>13406</v>
      </c>
      <c r="E26" s="27">
        <f t="shared" si="6"/>
        <v>2887</v>
      </c>
      <c r="F26" s="177">
        <f>자재작업량!H192</f>
        <v>4.3099999999999996</v>
      </c>
      <c r="G26" s="1" t="s">
        <v>14</v>
      </c>
      <c r="H26" s="27">
        <f t="shared" si="7"/>
        <v>11101</v>
      </c>
      <c r="I26" s="27">
        <f t="shared" si="8"/>
        <v>3110</v>
      </c>
      <c r="J26" s="27">
        <f t="shared" si="9"/>
        <v>669</v>
      </c>
      <c r="K26" s="27">
        <f t="shared" si="10"/>
        <v>14880</v>
      </c>
    </row>
    <row r="27" spans="1:11" ht="18.600000000000001" customHeight="1">
      <c r="A27" s="27" t="s">
        <v>1779</v>
      </c>
      <c r="B27" s="130" t="s">
        <v>2484</v>
      </c>
      <c r="C27" s="27">
        <f t="shared" si="4"/>
        <v>47849</v>
      </c>
      <c r="D27" s="27">
        <f t="shared" si="5"/>
        <v>13406</v>
      </c>
      <c r="E27" s="27">
        <f t="shared" si="6"/>
        <v>2887</v>
      </c>
      <c r="F27" s="177">
        <f>자재작업량!H193</f>
        <v>2.23</v>
      </c>
      <c r="G27" s="1" t="s">
        <v>14</v>
      </c>
      <c r="H27" s="27">
        <f t="shared" si="7"/>
        <v>21456</v>
      </c>
      <c r="I27" s="27">
        <f t="shared" si="8"/>
        <v>6011</v>
      </c>
      <c r="J27" s="27">
        <f t="shared" si="9"/>
        <v>1294</v>
      </c>
      <c r="K27" s="27">
        <f t="shared" si="10"/>
        <v>28761</v>
      </c>
    </row>
    <row r="28" spans="1:11" ht="18.600000000000001" customHeight="1">
      <c r="A28" s="27" t="s">
        <v>2189</v>
      </c>
      <c r="B28" s="130" t="s">
        <v>2484</v>
      </c>
      <c r="C28" s="27">
        <f t="shared" si="4"/>
        <v>47849</v>
      </c>
      <c r="D28" s="27">
        <f t="shared" si="5"/>
        <v>13406</v>
      </c>
      <c r="E28" s="27">
        <f t="shared" si="6"/>
        <v>2887</v>
      </c>
      <c r="F28" s="177">
        <f>자재작업량!H194</f>
        <v>2.61</v>
      </c>
      <c r="G28" s="1" t="s">
        <v>14</v>
      </c>
      <c r="H28" s="27">
        <f>INT(C28/F28)</f>
        <v>18332</v>
      </c>
      <c r="I28" s="27">
        <f>INT(D28/F28)</f>
        <v>5136</v>
      </c>
      <c r="J28" s="27">
        <f>INT(E28/F28)</f>
        <v>1106</v>
      </c>
      <c r="K28" s="27">
        <f>SUM(H28:J28)</f>
        <v>24574</v>
      </c>
    </row>
    <row r="29" spans="1:11" ht="18.600000000000001" customHeight="1">
      <c r="A29" s="27" t="s">
        <v>93</v>
      </c>
      <c r="B29" s="130" t="s">
        <v>2484</v>
      </c>
      <c r="C29" s="27">
        <f t="shared" si="4"/>
        <v>47849</v>
      </c>
      <c r="D29" s="27">
        <f t="shared" si="5"/>
        <v>13406</v>
      </c>
      <c r="E29" s="27">
        <f t="shared" si="6"/>
        <v>2887</v>
      </c>
      <c r="F29" s="178">
        <f>자재작업량!H195</f>
        <v>124.42</v>
      </c>
      <c r="G29" s="1" t="s">
        <v>86</v>
      </c>
      <c r="H29" s="27">
        <f t="shared" si="0"/>
        <v>384</v>
      </c>
      <c r="I29" s="27">
        <f t="shared" si="1"/>
        <v>107</v>
      </c>
      <c r="J29" s="27">
        <f t="shared" si="2"/>
        <v>23</v>
      </c>
      <c r="K29" s="27">
        <f t="shared" si="3"/>
        <v>514</v>
      </c>
    </row>
    <row r="30" spans="1:11" ht="18.600000000000001" customHeight="1">
      <c r="A30" s="27" t="s">
        <v>94</v>
      </c>
      <c r="B30" s="130" t="s">
        <v>2484</v>
      </c>
      <c r="C30" s="27">
        <f t="shared" si="4"/>
        <v>47849</v>
      </c>
      <c r="D30" s="27">
        <f t="shared" si="5"/>
        <v>13406</v>
      </c>
      <c r="E30" s="27">
        <f t="shared" si="6"/>
        <v>2887</v>
      </c>
      <c r="F30" s="178">
        <f>자재작업량!H196</f>
        <v>91.24</v>
      </c>
      <c r="G30" s="1" t="s">
        <v>86</v>
      </c>
      <c r="H30" s="27">
        <f t="shared" si="0"/>
        <v>524</v>
      </c>
      <c r="I30" s="27">
        <f t="shared" si="1"/>
        <v>146</v>
      </c>
      <c r="J30" s="27">
        <f t="shared" si="2"/>
        <v>31</v>
      </c>
      <c r="K30" s="27">
        <f t="shared" si="3"/>
        <v>701</v>
      </c>
    </row>
    <row r="31" spans="1:11" ht="18.600000000000001" customHeight="1">
      <c r="A31" s="27" t="s">
        <v>95</v>
      </c>
      <c r="B31" s="130" t="s">
        <v>2484</v>
      </c>
      <c r="C31" s="27">
        <f t="shared" si="4"/>
        <v>47849</v>
      </c>
      <c r="D31" s="27">
        <f t="shared" si="5"/>
        <v>13406</v>
      </c>
      <c r="E31" s="27">
        <f t="shared" si="6"/>
        <v>2887</v>
      </c>
      <c r="F31" s="178">
        <f>자재작업량!H197</f>
        <v>70.5</v>
      </c>
      <c r="G31" s="1" t="s">
        <v>86</v>
      </c>
      <c r="H31" s="27">
        <f t="shared" si="0"/>
        <v>678</v>
      </c>
      <c r="I31" s="27">
        <f t="shared" si="1"/>
        <v>190</v>
      </c>
      <c r="J31" s="27">
        <f t="shared" si="2"/>
        <v>40</v>
      </c>
      <c r="K31" s="27">
        <f t="shared" si="3"/>
        <v>908</v>
      </c>
    </row>
    <row r="32" spans="1:11" ht="18.600000000000001" customHeight="1">
      <c r="A32" s="27" t="s">
        <v>96</v>
      </c>
      <c r="B32" s="130" t="s">
        <v>2484</v>
      </c>
      <c r="C32" s="27">
        <f t="shared" si="4"/>
        <v>47849</v>
      </c>
      <c r="D32" s="27">
        <f t="shared" si="5"/>
        <v>13406</v>
      </c>
      <c r="E32" s="27">
        <f t="shared" si="6"/>
        <v>2887</v>
      </c>
      <c r="F32" s="178">
        <f>자재작업량!H198</f>
        <v>58.06</v>
      </c>
      <c r="G32" s="1" t="s">
        <v>86</v>
      </c>
      <c r="H32" s="27">
        <f t="shared" si="0"/>
        <v>824</v>
      </c>
      <c r="I32" s="27">
        <f t="shared" si="1"/>
        <v>230</v>
      </c>
      <c r="J32" s="27">
        <f t="shared" si="2"/>
        <v>49</v>
      </c>
      <c r="K32" s="27">
        <f t="shared" si="3"/>
        <v>1103</v>
      </c>
    </row>
    <row r="33" spans="1:11" ht="18.600000000000001" customHeight="1">
      <c r="A33" s="27" t="s">
        <v>97</v>
      </c>
      <c r="B33" s="130" t="s">
        <v>2484</v>
      </c>
      <c r="C33" s="27">
        <f t="shared" si="4"/>
        <v>47849</v>
      </c>
      <c r="D33" s="27">
        <f t="shared" si="5"/>
        <v>13406</v>
      </c>
      <c r="E33" s="27">
        <f t="shared" si="6"/>
        <v>2887</v>
      </c>
      <c r="F33" s="178">
        <f>자재작업량!H199</f>
        <v>37.32</v>
      </c>
      <c r="G33" s="1" t="s">
        <v>86</v>
      </c>
      <c r="H33" s="27">
        <f t="shared" si="0"/>
        <v>1282</v>
      </c>
      <c r="I33" s="27">
        <f t="shared" si="1"/>
        <v>359</v>
      </c>
      <c r="J33" s="27">
        <f t="shared" si="2"/>
        <v>77</v>
      </c>
      <c r="K33" s="27">
        <f t="shared" si="3"/>
        <v>1718</v>
      </c>
    </row>
    <row r="34" spans="1:11" ht="18.600000000000001" customHeight="1">
      <c r="A34" s="27" t="s">
        <v>2413</v>
      </c>
      <c r="B34" s="130" t="s">
        <v>2484</v>
      </c>
      <c r="C34" s="27">
        <f t="shared" si="4"/>
        <v>47849</v>
      </c>
      <c r="D34" s="27">
        <f t="shared" si="5"/>
        <v>13406</v>
      </c>
      <c r="E34" s="27">
        <f t="shared" si="6"/>
        <v>2887</v>
      </c>
      <c r="F34" s="178">
        <f>자재작업량!H201</f>
        <v>24.88</v>
      </c>
      <c r="G34" s="1" t="s">
        <v>14</v>
      </c>
      <c r="H34" s="27">
        <f>INT(C34/F34)</f>
        <v>1923</v>
      </c>
      <c r="I34" s="27">
        <f>INT(D34/F34)</f>
        <v>538</v>
      </c>
      <c r="J34" s="27">
        <f>INT(E34/F34)</f>
        <v>116</v>
      </c>
      <c r="K34" s="27">
        <f>SUM(H34:J34)</f>
        <v>2577</v>
      </c>
    </row>
  </sheetData>
  <customSheetViews>
    <customSheetView guid="{D73D5080-A04E-11D4-B8A5-00609727EAB1}" showPageBreaks="1" showRuler="0" topLeftCell="B1">
      <selection activeCell="I36" sqref="I36"/>
      <pageMargins left="0.63" right="0.61" top="1" bottom="1" header="0.5" footer="0.5"/>
      <pageSetup paperSize="9" orientation="landscape" horizontalDpi="300" verticalDpi="300" r:id="rId1"/>
      <headerFooter alignWithMargins="0"/>
    </customSheetView>
    <customSheetView guid="{2D877E0D-A04C-11D4-947E-00001C044B2C}" showRuler="0" topLeftCell="A3">
      <selection activeCell="F12" sqref="F12"/>
      <pageMargins left="0.63" right="0.61" top="1" bottom="1" header="0.5" footer="0.5"/>
      <pageSetup paperSize="9" orientation="landscape" horizontalDpi="300" verticalDpi="300" r:id="rId2"/>
      <headerFooter alignWithMargins="0"/>
    </customSheetView>
    <customSheetView guid="{6F21C780-A002-11D4-A1D9-00104BD549C6}" showRuler="0" topLeftCell="A3">
      <selection activeCell="F12" sqref="F12"/>
      <pageMargins left="0.63" right="0.61" top="1" bottom="1" header="0.5" footer="0.5"/>
      <pageSetup paperSize="9" orientation="landscape" horizontalDpi="300" verticalDpi="300" r:id="rId3"/>
      <headerFooter alignWithMargins="0"/>
    </customSheetView>
  </customSheetViews>
  <mergeCells count="5">
    <mergeCell ref="A2:A3"/>
    <mergeCell ref="B2:B3"/>
    <mergeCell ref="C2:E2"/>
    <mergeCell ref="F2:G2"/>
    <mergeCell ref="H2:K2"/>
  </mergeCells>
  <phoneticPr fontId="3" type="noConversion"/>
  <printOptions horizontalCentered="1"/>
  <pageMargins left="0.39370078740157483" right="0.39370078740157483" top="0.93" bottom="0.53" header="0.43" footer="0"/>
  <pageSetup paperSize="9" orientation="landscape" r:id="rId4"/>
  <headerFooter alignWithMargins="0"/>
  <drawing r:id="rId5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5"/>
  <dimension ref="A1:N258"/>
  <sheetViews>
    <sheetView topLeftCell="A172" workbookViewId="0">
      <selection activeCell="D195" sqref="D195"/>
    </sheetView>
  </sheetViews>
  <sheetFormatPr defaultColWidth="8.88671875" defaultRowHeight="20.100000000000001" customHeight="1"/>
  <cols>
    <col min="1" max="1" width="6.33203125" style="10" customWidth="1"/>
    <col min="2" max="2" width="10.109375" style="10" customWidth="1"/>
    <col min="3" max="7" width="8.88671875" style="10"/>
    <col min="8" max="8" width="11.21875" style="10" bestFit="1" customWidth="1"/>
    <col min="9" max="9" width="8.88671875" style="10"/>
    <col min="10" max="10" width="10.5546875" style="10" bestFit="1" customWidth="1"/>
    <col min="11" max="12" width="8.88671875" style="10"/>
    <col min="13" max="13" width="10.6640625" style="10" customWidth="1"/>
    <col min="14" max="16384" width="8.88671875" style="10"/>
  </cols>
  <sheetData>
    <row r="1" spans="1:13" ht="20.100000000000001" customHeight="1">
      <c r="A1" s="133" t="s">
        <v>1408</v>
      </c>
    </row>
    <row r="2" spans="1:13" ht="15" customHeight="1">
      <c r="A2" s="7"/>
      <c r="B2" s="8" t="s">
        <v>1004</v>
      </c>
      <c r="C2" s="8"/>
      <c r="D2" s="8"/>
      <c r="E2" s="8"/>
      <c r="F2" s="8"/>
      <c r="G2" s="8"/>
      <c r="H2" s="8"/>
      <c r="I2" s="8"/>
      <c r="J2" s="8"/>
      <c r="K2" s="8"/>
      <c r="L2" s="8"/>
      <c r="M2" s="9"/>
    </row>
    <row r="3" spans="1:13" ht="15" customHeight="1">
      <c r="A3" s="11"/>
      <c r="C3" s="10" t="s">
        <v>1171</v>
      </c>
      <c r="E3" s="10" t="s">
        <v>1172</v>
      </c>
      <c r="M3" s="15"/>
    </row>
    <row r="4" spans="1:13" ht="15" customHeight="1">
      <c r="A4" s="11"/>
      <c r="C4" s="10" t="s">
        <v>1173</v>
      </c>
      <c r="M4" s="15"/>
    </row>
    <row r="5" spans="1:13" ht="15" customHeight="1">
      <c r="A5" s="11"/>
      <c r="C5" s="10" t="s">
        <v>1174</v>
      </c>
      <c r="M5" s="15"/>
    </row>
    <row r="6" spans="1:13" ht="15" customHeight="1">
      <c r="A6" s="11"/>
      <c r="C6" s="10" t="s">
        <v>999</v>
      </c>
      <c r="F6" s="10" t="s">
        <v>531</v>
      </c>
      <c r="M6" s="15"/>
    </row>
    <row r="7" spans="1:13" ht="15" customHeight="1">
      <c r="A7" s="11"/>
      <c r="C7" s="10" t="s">
        <v>1409</v>
      </c>
      <c r="F7" s="10">
        <v>0.08</v>
      </c>
      <c r="G7" s="10" t="s">
        <v>1118</v>
      </c>
      <c r="M7" s="15"/>
    </row>
    <row r="8" spans="1:13" ht="15" customHeight="1">
      <c r="A8" s="11"/>
      <c r="M8" s="15"/>
    </row>
    <row r="9" spans="1:13" ht="15" customHeight="1">
      <c r="A9" s="11"/>
      <c r="B9" s="10" t="s">
        <v>1002</v>
      </c>
      <c r="M9" s="15"/>
    </row>
    <row r="10" spans="1:13" ht="15" customHeight="1">
      <c r="A10" s="11"/>
      <c r="B10" s="12" t="s">
        <v>1003</v>
      </c>
      <c r="C10" s="12" t="s">
        <v>1410</v>
      </c>
      <c r="D10" s="10">
        <f>운반거리!F17</f>
        <v>50</v>
      </c>
      <c r="E10" s="10" t="s">
        <v>1411</v>
      </c>
      <c r="M10" s="15"/>
    </row>
    <row r="11" spans="1:13" ht="15" customHeight="1">
      <c r="A11" s="11"/>
      <c r="B11" s="12" t="s">
        <v>1412</v>
      </c>
      <c r="C11" s="16">
        <v>1</v>
      </c>
      <c r="D11" s="10" t="s">
        <v>1413</v>
      </c>
      <c r="E11" s="17">
        <v>1</v>
      </c>
      <c r="F11" s="12" t="s">
        <v>1414</v>
      </c>
      <c r="G11" s="17">
        <v>0.9</v>
      </c>
      <c r="H11" s="12" t="s">
        <v>1415</v>
      </c>
      <c r="I11" s="17">
        <v>57</v>
      </c>
      <c r="J11" s="12" t="s">
        <v>1416</v>
      </c>
      <c r="K11" s="17">
        <v>83</v>
      </c>
      <c r="L11" s="12" t="s">
        <v>1417</v>
      </c>
      <c r="M11" s="61">
        <v>11</v>
      </c>
    </row>
    <row r="12" spans="1:13" ht="15" customHeight="1">
      <c r="A12" s="11"/>
      <c r="C12" s="1017" t="s">
        <v>1418</v>
      </c>
      <c r="D12" s="1017"/>
      <c r="E12" s="1017"/>
      <c r="F12" s="16">
        <f>ROUND((D10/57+D10/83+11)/10*10,2)</f>
        <v>12.48</v>
      </c>
      <c r="G12" s="10" t="s">
        <v>1419</v>
      </c>
      <c r="M12" s="15"/>
    </row>
    <row r="13" spans="1:13" ht="15" customHeight="1">
      <c r="A13" s="11"/>
      <c r="C13" s="1017" t="s">
        <v>1420</v>
      </c>
      <c r="D13" s="1017"/>
      <c r="E13" s="1017"/>
      <c r="F13" s="1017"/>
      <c r="G13" s="135">
        <f>ROUND(((F12-M11)/F12)/10*10,3)</f>
        <v>0.11899999999999999</v>
      </c>
      <c r="M13" s="15"/>
    </row>
    <row r="14" spans="1:13" ht="15" customHeight="1">
      <c r="A14" s="11"/>
      <c r="C14" s="1017" t="s">
        <v>1421</v>
      </c>
      <c r="D14" s="1017"/>
      <c r="E14" s="1017"/>
      <c r="F14" s="1017"/>
      <c r="G14" s="16">
        <f>ROUND(((60*1*1*0.9)/F12)/10*10,2)</f>
        <v>4.33</v>
      </c>
      <c r="H14" s="10" t="s">
        <v>1422</v>
      </c>
      <c r="M14" s="15"/>
    </row>
    <row r="15" spans="1:13" ht="15" customHeight="1">
      <c r="A15" s="11"/>
      <c r="C15" s="12"/>
      <c r="D15" s="12"/>
      <c r="E15" s="12"/>
      <c r="F15" s="12"/>
      <c r="G15" s="16"/>
      <c r="L15" s="12"/>
      <c r="M15" s="61"/>
    </row>
    <row r="16" spans="1:13" ht="15" customHeight="1">
      <c r="A16" s="11"/>
      <c r="B16" s="10" t="s">
        <v>1000</v>
      </c>
      <c r="M16" s="15"/>
    </row>
    <row r="17" spans="1:14" ht="15" customHeight="1">
      <c r="A17" s="11"/>
      <c r="B17" s="12" t="s">
        <v>1423</v>
      </c>
      <c r="C17" s="10">
        <v>11</v>
      </c>
      <c r="D17" s="10" t="s">
        <v>1424</v>
      </c>
      <c r="E17" s="10" t="s">
        <v>1425</v>
      </c>
      <c r="F17" s="16">
        <v>1</v>
      </c>
      <c r="G17" s="10" t="s">
        <v>989</v>
      </c>
      <c r="H17" s="12" t="s">
        <v>1426</v>
      </c>
      <c r="I17" s="17">
        <v>1</v>
      </c>
      <c r="M17" s="15"/>
    </row>
    <row r="18" spans="1:14" ht="15" customHeight="1">
      <c r="A18" s="11"/>
      <c r="B18" s="1017" t="s">
        <v>1427</v>
      </c>
      <c r="C18" s="1017"/>
      <c r="D18" s="1017"/>
      <c r="E18" s="1017"/>
      <c r="F18" s="16">
        <v>0.04</v>
      </c>
      <c r="G18" s="10" t="s">
        <v>1118</v>
      </c>
      <c r="M18" s="15"/>
    </row>
    <row r="19" spans="1:14" ht="15" customHeight="1">
      <c r="A19" s="11"/>
      <c r="B19" s="28"/>
      <c r="C19" s="28"/>
      <c r="D19" s="28"/>
      <c r="E19" s="28"/>
      <c r="F19" s="16"/>
      <c r="M19" s="15"/>
    </row>
    <row r="20" spans="1:14" ht="15" customHeight="1">
      <c r="A20" s="11"/>
      <c r="B20" s="10" t="s">
        <v>1428</v>
      </c>
      <c r="M20" s="15"/>
    </row>
    <row r="21" spans="1:14" ht="15" customHeight="1">
      <c r="A21" s="11"/>
      <c r="C21" s="10" t="s">
        <v>1171</v>
      </c>
      <c r="E21" s="10" t="s">
        <v>1172</v>
      </c>
      <c r="M21" s="15"/>
    </row>
    <row r="22" spans="1:14" ht="15" customHeight="1">
      <c r="A22" s="11"/>
      <c r="C22" s="10" t="s">
        <v>1173</v>
      </c>
      <c r="M22" s="15"/>
    </row>
    <row r="23" spans="1:14" ht="15" customHeight="1">
      <c r="A23" s="11"/>
      <c r="C23" s="10" t="s">
        <v>1174</v>
      </c>
      <c r="M23" s="15"/>
    </row>
    <row r="24" spans="1:14" ht="15" customHeight="1">
      <c r="A24" s="11"/>
      <c r="C24" s="12" t="s">
        <v>1429</v>
      </c>
      <c r="D24" s="136">
        <v>10500</v>
      </c>
      <c r="E24" s="10" t="s">
        <v>1119</v>
      </c>
      <c r="F24" s="10" t="s">
        <v>1430</v>
      </c>
      <c r="I24" s="14">
        <v>34.44</v>
      </c>
      <c r="M24" s="15"/>
    </row>
    <row r="25" spans="1:14" ht="15" customHeight="1">
      <c r="A25" s="11"/>
      <c r="C25" s="1017" t="s">
        <v>1409</v>
      </c>
      <c r="D25" s="1017"/>
      <c r="E25" s="1017"/>
      <c r="F25" s="16">
        <v>0.06</v>
      </c>
      <c r="G25" s="10" t="s">
        <v>1118</v>
      </c>
      <c r="M25" s="15"/>
    </row>
    <row r="26" spans="1:14" ht="15" customHeight="1">
      <c r="A26" s="11"/>
      <c r="B26" s="10" t="s">
        <v>1188</v>
      </c>
      <c r="M26" s="15"/>
    </row>
    <row r="27" spans="1:14" ht="15" customHeight="1">
      <c r="A27" s="11"/>
      <c r="B27" s="10" t="s">
        <v>1003</v>
      </c>
      <c r="C27" s="10" t="s">
        <v>1410</v>
      </c>
      <c r="D27" s="10">
        <f>운반거리!F17</f>
        <v>50</v>
      </c>
      <c r="E27" s="10" t="s">
        <v>1411</v>
      </c>
      <c r="M27" s="15"/>
    </row>
    <row r="28" spans="1:14" ht="15" customHeight="1">
      <c r="A28" s="11"/>
      <c r="B28" s="12" t="s">
        <v>1431</v>
      </c>
      <c r="C28" s="16">
        <v>1</v>
      </c>
      <c r="D28" s="10" t="s">
        <v>1432</v>
      </c>
      <c r="E28" s="17">
        <v>1</v>
      </c>
      <c r="F28" s="12" t="s">
        <v>1433</v>
      </c>
      <c r="G28" s="17">
        <v>0.9</v>
      </c>
      <c r="H28" s="12" t="s">
        <v>1415</v>
      </c>
      <c r="I28" s="17">
        <v>57</v>
      </c>
      <c r="J28" s="12" t="s">
        <v>1434</v>
      </c>
      <c r="K28" s="17">
        <v>83</v>
      </c>
      <c r="L28" s="12" t="s">
        <v>1417</v>
      </c>
      <c r="M28" s="61">
        <v>11</v>
      </c>
      <c r="N28" s="14"/>
    </row>
    <row r="29" spans="1:14" ht="15" customHeight="1">
      <c r="A29" s="11"/>
      <c r="B29" s="12"/>
      <c r="C29" s="1017" t="s">
        <v>1435</v>
      </c>
      <c r="D29" s="1017"/>
      <c r="E29" s="1017"/>
      <c r="F29" s="1017"/>
      <c r="G29" s="14">
        <f>ROUND((D27/I28+D27/K28+M28)/10*10,2)</f>
        <v>12.48</v>
      </c>
      <c r="I29" s="10" t="s">
        <v>1420</v>
      </c>
      <c r="L29" s="14">
        <f>ROUND(((G29-M28)/G29)/10*10,3)</f>
        <v>0.11899999999999999</v>
      </c>
      <c r="M29" s="15"/>
    </row>
    <row r="30" spans="1:14" ht="15" customHeight="1">
      <c r="A30" s="11"/>
      <c r="C30" s="10" t="s">
        <v>1436</v>
      </c>
      <c r="F30" s="16">
        <f>ROUND(((60*C28*E28*G28)/G29)/10*10,2)</f>
        <v>4.33</v>
      </c>
      <c r="G30" s="10" t="s">
        <v>1422</v>
      </c>
      <c r="M30" s="15"/>
    </row>
    <row r="31" spans="1:14" ht="15" customHeight="1">
      <c r="A31" s="11"/>
      <c r="F31" s="16"/>
      <c r="J31" s="12"/>
      <c r="K31" s="14"/>
      <c r="M31" s="15"/>
    </row>
    <row r="32" spans="1:14" ht="15" customHeight="1">
      <c r="A32" s="11"/>
      <c r="B32" s="10" t="s">
        <v>1178</v>
      </c>
      <c r="M32" s="15"/>
    </row>
    <row r="33" spans="1:13" ht="15" customHeight="1">
      <c r="A33" s="11"/>
      <c r="B33" s="12" t="s">
        <v>1423</v>
      </c>
      <c r="C33" s="10">
        <v>11</v>
      </c>
      <c r="D33" s="10" t="s">
        <v>1437</v>
      </c>
      <c r="E33" s="137" t="s">
        <v>1412</v>
      </c>
      <c r="F33" s="16">
        <v>1</v>
      </c>
      <c r="G33" s="10" t="s">
        <v>989</v>
      </c>
      <c r="H33" s="12" t="s">
        <v>1426</v>
      </c>
      <c r="I33" s="17">
        <v>1</v>
      </c>
      <c r="M33" s="15"/>
    </row>
    <row r="34" spans="1:13" ht="15" customHeight="1">
      <c r="A34" s="11"/>
      <c r="B34" s="1017" t="s">
        <v>1438</v>
      </c>
      <c r="C34" s="1017"/>
      <c r="D34" s="1017"/>
      <c r="E34" s="1017"/>
      <c r="F34" s="10">
        <f>TRUNC((C33/450*2*1/F33*1/I33)/10*10,2)</f>
        <v>0.04</v>
      </c>
      <c r="G34" s="10" t="s">
        <v>1118</v>
      </c>
      <c r="M34" s="15"/>
    </row>
    <row r="35" spans="1:13" ht="15" customHeight="1">
      <c r="A35" s="20"/>
      <c r="B35" s="128"/>
      <c r="C35" s="128"/>
      <c r="D35" s="128"/>
      <c r="E35" s="128"/>
      <c r="F35" s="21"/>
      <c r="G35" s="21"/>
      <c r="H35" s="21"/>
      <c r="I35" s="21"/>
      <c r="J35" s="21"/>
      <c r="K35" s="21"/>
      <c r="L35" s="21"/>
      <c r="M35" s="22"/>
    </row>
    <row r="36" spans="1:13" ht="15" customHeight="1">
      <c r="A36" s="7"/>
      <c r="B36" s="8" t="s">
        <v>1030</v>
      </c>
      <c r="C36" s="8"/>
      <c r="D36" s="8"/>
      <c r="E36" s="8"/>
      <c r="F36" s="8"/>
      <c r="G36" s="8"/>
      <c r="H36" s="8"/>
      <c r="I36" s="8"/>
      <c r="J36" s="8"/>
      <c r="K36" s="8"/>
      <c r="L36" s="8"/>
      <c r="M36" s="9"/>
    </row>
    <row r="37" spans="1:13" ht="15" customHeight="1">
      <c r="A37" s="11"/>
      <c r="C37" s="10" t="s">
        <v>1171</v>
      </c>
      <c r="E37" s="10" t="s">
        <v>1172</v>
      </c>
      <c r="M37" s="15"/>
    </row>
    <row r="38" spans="1:13" ht="15" customHeight="1">
      <c r="A38" s="11"/>
      <c r="C38" s="10" t="s">
        <v>1173</v>
      </c>
      <c r="M38" s="15"/>
    </row>
    <row r="39" spans="1:13" ht="15" customHeight="1">
      <c r="A39" s="11"/>
      <c r="C39" s="10" t="s">
        <v>1174</v>
      </c>
      <c r="M39" s="15"/>
    </row>
    <row r="40" spans="1:13" ht="15" customHeight="1">
      <c r="A40" s="11"/>
      <c r="C40" s="10" t="s">
        <v>999</v>
      </c>
      <c r="E40" s="10" t="s">
        <v>1175</v>
      </c>
      <c r="F40" s="132"/>
      <c r="G40" s="10" t="s">
        <v>1176</v>
      </c>
      <c r="K40" s="10" t="s">
        <v>1177</v>
      </c>
      <c r="M40" s="15"/>
    </row>
    <row r="41" spans="1:13" ht="15" customHeight="1">
      <c r="A41" s="11"/>
      <c r="C41" s="10" t="s">
        <v>628</v>
      </c>
      <c r="M41" s="15"/>
    </row>
    <row r="42" spans="1:13" ht="15" customHeight="1">
      <c r="A42" s="11"/>
      <c r="C42" s="10" t="s">
        <v>1439</v>
      </c>
      <c r="F42" s="10">
        <v>0.02</v>
      </c>
      <c r="G42" s="10" t="s">
        <v>1118</v>
      </c>
      <c r="M42" s="15"/>
    </row>
    <row r="43" spans="1:13" ht="15" customHeight="1">
      <c r="A43" s="11"/>
      <c r="M43" s="15"/>
    </row>
    <row r="44" spans="1:13" ht="15" customHeight="1">
      <c r="A44" s="11"/>
      <c r="B44" s="10" t="s">
        <v>629</v>
      </c>
      <c r="M44" s="15"/>
    </row>
    <row r="45" spans="1:13" ht="15" customHeight="1">
      <c r="A45" s="11"/>
      <c r="B45" s="10" t="s">
        <v>1003</v>
      </c>
      <c r="C45" s="10" t="s">
        <v>1410</v>
      </c>
      <c r="D45" s="10">
        <f>운반거리!F17</f>
        <v>50</v>
      </c>
      <c r="E45" s="10" t="s">
        <v>1411</v>
      </c>
      <c r="H45" s="12" t="s">
        <v>1423</v>
      </c>
      <c r="I45" s="16">
        <v>11</v>
      </c>
      <c r="J45" s="10" t="s">
        <v>1419</v>
      </c>
      <c r="M45" s="15"/>
    </row>
    <row r="46" spans="1:13" ht="15" customHeight="1">
      <c r="A46" s="11"/>
      <c r="B46" s="12" t="s">
        <v>1440</v>
      </c>
      <c r="C46" s="10">
        <v>1.72</v>
      </c>
      <c r="D46" s="10" t="s">
        <v>1120</v>
      </c>
      <c r="E46" s="12" t="s">
        <v>1426</v>
      </c>
      <c r="F46" s="17">
        <v>1</v>
      </c>
      <c r="G46" s="12" t="s">
        <v>1433</v>
      </c>
      <c r="H46" s="17">
        <v>0.9</v>
      </c>
      <c r="I46" s="12" t="s">
        <v>1441</v>
      </c>
      <c r="J46" s="17">
        <v>57</v>
      </c>
      <c r="K46" s="12" t="s">
        <v>1434</v>
      </c>
      <c r="L46" s="17">
        <v>83</v>
      </c>
      <c r="M46" s="15"/>
    </row>
    <row r="47" spans="1:13" ht="15" customHeight="1">
      <c r="A47" s="11"/>
      <c r="C47" s="10" t="s">
        <v>1442</v>
      </c>
      <c r="F47" s="10">
        <f>ROUND((D45/J46+D45/L46+I45)/10*10,2)</f>
        <v>12.48</v>
      </c>
      <c r="I47" s="10" t="s">
        <v>1443</v>
      </c>
      <c r="L47" s="14">
        <f>ROUND(((F47-I45)/F47)/10*10,3)</f>
        <v>0.11899999999999999</v>
      </c>
      <c r="M47" s="15"/>
    </row>
    <row r="48" spans="1:13" ht="15" customHeight="1">
      <c r="A48" s="11"/>
      <c r="C48" s="10" t="s">
        <v>1448</v>
      </c>
      <c r="F48" s="10">
        <f>ROUND(((60*C46*F46*H46)/F47)/10*10,2)</f>
        <v>7.44</v>
      </c>
      <c r="G48" s="10" t="s">
        <v>987</v>
      </c>
      <c r="M48" s="15"/>
    </row>
    <row r="49" spans="1:13" ht="15" customHeight="1">
      <c r="A49" s="11"/>
      <c r="M49" s="15"/>
    </row>
    <row r="50" spans="1:13" ht="15" customHeight="1">
      <c r="A50" s="11"/>
      <c r="B50" s="10" t="s">
        <v>1189</v>
      </c>
      <c r="M50" s="15"/>
    </row>
    <row r="51" spans="1:13" ht="15" customHeight="1">
      <c r="A51" s="11"/>
      <c r="C51" s="10" t="s">
        <v>631</v>
      </c>
      <c r="E51" s="10" t="s">
        <v>622</v>
      </c>
      <c r="G51" s="10" t="s">
        <v>630</v>
      </c>
      <c r="M51" s="15"/>
    </row>
    <row r="52" spans="1:13" ht="15" customHeight="1">
      <c r="A52" s="11"/>
      <c r="C52" s="10" t="s">
        <v>1449</v>
      </c>
      <c r="F52" s="10">
        <v>0.02</v>
      </c>
      <c r="G52" s="10" t="s">
        <v>1118</v>
      </c>
      <c r="M52" s="15"/>
    </row>
    <row r="53" spans="1:13" ht="15" customHeight="1">
      <c r="A53" s="11"/>
      <c r="M53" s="15"/>
    </row>
    <row r="54" spans="1:13" ht="15" customHeight="1">
      <c r="A54" s="11"/>
      <c r="B54" s="10" t="s">
        <v>632</v>
      </c>
      <c r="M54" s="15"/>
    </row>
    <row r="55" spans="1:13" ht="15" customHeight="1">
      <c r="A55" s="11"/>
      <c r="C55" s="10" t="s">
        <v>1171</v>
      </c>
      <c r="E55" s="10" t="s">
        <v>1172</v>
      </c>
      <c r="M55" s="15"/>
    </row>
    <row r="56" spans="1:13" ht="15" customHeight="1">
      <c r="A56" s="11"/>
      <c r="C56" s="10" t="s">
        <v>1173</v>
      </c>
      <c r="M56" s="15"/>
    </row>
    <row r="57" spans="1:13" ht="15" customHeight="1">
      <c r="A57" s="11"/>
      <c r="C57" s="10" t="s">
        <v>1174</v>
      </c>
      <c r="M57" s="15"/>
    </row>
    <row r="58" spans="1:13" ht="15" customHeight="1">
      <c r="A58" s="11"/>
      <c r="C58" s="10" t="s">
        <v>999</v>
      </c>
      <c r="F58" s="10" t="s">
        <v>633</v>
      </c>
      <c r="K58" s="10" t="s">
        <v>1177</v>
      </c>
      <c r="M58" s="15"/>
    </row>
    <row r="59" spans="1:13" ht="15" customHeight="1">
      <c r="A59" s="11"/>
      <c r="C59" s="10" t="s">
        <v>1450</v>
      </c>
      <c r="F59" s="10">
        <v>0.05</v>
      </c>
      <c r="G59" s="10" t="s">
        <v>1118</v>
      </c>
      <c r="M59" s="15"/>
    </row>
    <row r="60" spans="1:13" ht="15" customHeight="1">
      <c r="A60" s="11"/>
      <c r="M60" s="15"/>
    </row>
    <row r="61" spans="1:13" ht="15" customHeight="1">
      <c r="A61" s="11"/>
      <c r="B61" s="10" t="s">
        <v>1308</v>
      </c>
      <c r="M61" s="15"/>
    </row>
    <row r="62" spans="1:13" ht="15" customHeight="1">
      <c r="A62" s="11"/>
      <c r="B62" s="10" t="s">
        <v>1003</v>
      </c>
      <c r="C62" s="12" t="s">
        <v>1410</v>
      </c>
      <c r="D62" s="10">
        <f>운반거리!F17</f>
        <v>50</v>
      </c>
      <c r="E62" s="10" t="s">
        <v>1411</v>
      </c>
      <c r="M62" s="15"/>
    </row>
    <row r="63" spans="1:13" ht="15" customHeight="1">
      <c r="A63" s="11"/>
      <c r="B63" s="12" t="s">
        <v>1440</v>
      </c>
      <c r="C63" s="10">
        <v>1</v>
      </c>
      <c r="D63" s="10" t="s">
        <v>989</v>
      </c>
      <c r="E63" s="12" t="s">
        <v>1426</v>
      </c>
      <c r="F63" s="17">
        <v>1</v>
      </c>
      <c r="G63" s="12" t="s">
        <v>1451</v>
      </c>
      <c r="H63" s="17">
        <v>0.9</v>
      </c>
      <c r="I63" s="12" t="s">
        <v>1415</v>
      </c>
      <c r="J63" s="17">
        <v>57</v>
      </c>
      <c r="K63" s="12" t="s">
        <v>1434</v>
      </c>
      <c r="L63" s="17">
        <v>83</v>
      </c>
      <c r="M63" s="15"/>
    </row>
    <row r="64" spans="1:13" ht="15" customHeight="1">
      <c r="A64" s="11"/>
      <c r="C64" s="1017" t="s">
        <v>1452</v>
      </c>
      <c r="D64" s="1017"/>
      <c r="E64" s="1017"/>
      <c r="F64" s="17">
        <f>ROUND((D62/J63+D62/L63+I64)/10*10,2)</f>
        <v>12.48</v>
      </c>
      <c r="H64" s="12" t="s">
        <v>1453</v>
      </c>
      <c r="I64" s="14">
        <v>11</v>
      </c>
      <c r="M64" s="15"/>
    </row>
    <row r="65" spans="1:13" ht="15" customHeight="1">
      <c r="A65" s="11"/>
      <c r="C65" s="10" t="s">
        <v>1420</v>
      </c>
      <c r="F65" s="138">
        <f>ROUND(((F64-I64)/F64)/10*10,3)</f>
        <v>0.11899999999999999</v>
      </c>
      <c r="G65" s="138"/>
      <c r="M65" s="15"/>
    </row>
    <row r="66" spans="1:13" ht="15" customHeight="1">
      <c r="A66" s="11"/>
      <c r="C66" s="1017" t="s">
        <v>1454</v>
      </c>
      <c r="D66" s="1017"/>
      <c r="E66" s="1017"/>
      <c r="F66" s="1017"/>
      <c r="G66" s="16">
        <f>ROUND(((60*C63*F63*H63)/F64)/10*10,2)</f>
        <v>4.33</v>
      </c>
      <c r="H66" s="10" t="s">
        <v>1422</v>
      </c>
      <c r="M66" s="15"/>
    </row>
    <row r="67" spans="1:13" ht="15" customHeight="1">
      <c r="A67" s="11"/>
      <c r="C67" s="12"/>
      <c r="D67" s="12"/>
      <c r="E67" s="12"/>
      <c r="F67" s="12"/>
      <c r="G67" s="16"/>
      <c r="M67" s="15"/>
    </row>
    <row r="68" spans="1:13" ht="15" customHeight="1">
      <c r="A68" s="11"/>
      <c r="B68" s="10" t="s">
        <v>1307</v>
      </c>
      <c r="M68" s="15"/>
    </row>
    <row r="69" spans="1:13" ht="15" customHeight="1">
      <c r="A69" s="11"/>
      <c r="B69" s="10" t="s">
        <v>1306</v>
      </c>
      <c r="E69" s="10" t="s">
        <v>1305</v>
      </c>
      <c r="H69" s="10" t="s">
        <v>1001</v>
      </c>
      <c r="M69" s="15"/>
    </row>
    <row r="70" spans="1:13" ht="15" customHeight="1">
      <c r="A70" s="20"/>
      <c r="B70" s="21" t="s">
        <v>1455</v>
      </c>
      <c r="C70" s="21"/>
      <c r="D70" s="21"/>
      <c r="E70" s="21">
        <v>0.04</v>
      </c>
      <c r="F70" s="21" t="s">
        <v>1328</v>
      </c>
      <c r="G70" s="21"/>
      <c r="H70" s="21"/>
      <c r="I70" s="21"/>
      <c r="J70" s="21"/>
      <c r="K70" s="21"/>
      <c r="L70" s="21"/>
      <c r="M70" s="22"/>
    </row>
    <row r="71" spans="1:13" ht="15" customHeight="1">
      <c r="A71" s="7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9"/>
    </row>
    <row r="72" spans="1:13" ht="15" customHeight="1">
      <c r="A72" s="11"/>
      <c r="B72" s="10" t="s">
        <v>1456</v>
      </c>
      <c r="M72" s="15"/>
    </row>
    <row r="73" spans="1:13" ht="15" customHeight="1">
      <c r="A73" s="11"/>
      <c r="C73" s="10" t="s">
        <v>1309</v>
      </c>
      <c r="F73" s="12" t="s">
        <v>1440</v>
      </c>
      <c r="G73" s="10">
        <v>2.29</v>
      </c>
      <c r="H73" s="10" t="s">
        <v>1120</v>
      </c>
      <c r="M73" s="15"/>
    </row>
    <row r="74" spans="1:13" ht="15" customHeight="1">
      <c r="A74" s="11"/>
      <c r="B74" s="12" t="s">
        <v>1457</v>
      </c>
      <c r="C74" s="14">
        <v>1.2</v>
      </c>
      <c r="F74" s="12" t="s">
        <v>1458</v>
      </c>
      <c r="G74" s="14">
        <v>0.75</v>
      </c>
      <c r="I74" s="12" t="s">
        <v>1459</v>
      </c>
      <c r="J74" s="10">
        <v>37.4</v>
      </c>
      <c r="K74" s="10" t="s">
        <v>1460</v>
      </c>
      <c r="M74" s="15"/>
    </row>
    <row r="75" spans="1:13" ht="15" customHeight="1">
      <c r="A75" s="11"/>
      <c r="B75" s="12"/>
      <c r="C75" s="14"/>
      <c r="F75" s="12"/>
      <c r="G75" s="14"/>
      <c r="I75" s="12"/>
      <c r="M75" s="15"/>
    </row>
    <row r="76" spans="1:13" ht="15" customHeight="1">
      <c r="A76" s="11"/>
      <c r="B76" s="10" t="s">
        <v>1461</v>
      </c>
      <c r="M76" s="15"/>
    </row>
    <row r="77" spans="1:13" ht="15" customHeight="1">
      <c r="A77" s="11"/>
      <c r="C77" s="10" t="s">
        <v>1310</v>
      </c>
      <c r="F77" s="12" t="s">
        <v>1410</v>
      </c>
      <c r="G77" s="10">
        <v>9.5</v>
      </c>
      <c r="H77" s="10" t="s">
        <v>1462</v>
      </c>
      <c r="I77" s="10" t="s">
        <v>1429</v>
      </c>
      <c r="J77" s="78">
        <v>15000</v>
      </c>
      <c r="K77" s="10" t="s">
        <v>1119</v>
      </c>
      <c r="M77" s="15"/>
    </row>
    <row r="78" spans="1:13" ht="15" customHeight="1">
      <c r="A78" s="11"/>
      <c r="B78" s="12" t="s">
        <v>1463</v>
      </c>
      <c r="C78" s="17">
        <v>1.2</v>
      </c>
      <c r="E78" s="12" t="s">
        <v>1464</v>
      </c>
      <c r="F78" s="78">
        <v>1600</v>
      </c>
      <c r="G78" s="10" t="s">
        <v>1465</v>
      </c>
      <c r="H78" s="12" t="s">
        <v>1441</v>
      </c>
      <c r="I78" s="17">
        <v>30</v>
      </c>
      <c r="J78" s="12" t="s">
        <v>1434</v>
      </c>
      <c r="K78" s="17">
        <v>35</v>
      </c>
      <c r="M78" s="15"/>
    </row>
    <row r="79" spans="1:13" ht="15" customHeight="1">
      <c r="A79" s="11"/>
      <c r="B79" s="1017" t="s">
        <v>1466</v>
      </c>
      <c r="C79" s="1017"/>
      <c r="D79" s="10">
        <f>ROUND((C78*(J77/F78))/10*10,2)</f>
        <v>11.25</v>
      </c>
      <c r="E79" s="10" t="s">
        <v>1120</v>
      </c>
      <c r="F79" s="12" t="s">
        <v>1433</v>
      </c>
      <c r="G79" s="17">
        <v>0.9</v>
      </c>
      <c r="I79" s="10" t="s">
        <v>1467</v>
      </c>
      <c r="J79" s="17">
        <v>1</v>
      </c>
      <c r="M79" s="15"/>
    </row>
    <row r="80" spans="1:13" ht="15" customHeight="1">
      <c r="A80" s="11"/>
      <c r="B80" s="1017" t="s">
        <v>1468</v>
      </c>
      <c r="C80" s="1017"/>
      <c r="D80" s="16">
        <f>ROUND(D79/(G73*C74)/10*10,1)</f>
        <v>4.0999999999999996</v>
      </c>
      <c r="F80" s="132"/>
      <c r="G80" s="12" t="s">
        <v>1415</v>
      </c>
      <c r="H80" s="17">
        <v>20</v>
      </c>
      <c r="J80" s="12" t="s">
        <v>1434</v>
      </c>
      <c r="K80" s="17">
        <v>20</v>
      </c>
      <c r="M80" s="15"/>
    </row>
    <row r="81" spans="1:13" ht="15" customHeight="1">
      <c r="A81" s="11"/>
      <c r="B81" s="1017" t="s">
        <v>1469</v>
      </c>
      <c r="C81" s="1017"/>
      <c r="D81" s="1017"/>
      <c r="E81" s="1017"/>
      <c r="F81" s="10">
        <f>ROUND((J74*D80/(60*G74))/10*10,2)</f>
        <v>3.41</v>
      </c>
      <c r="G81" s="10" t="s">
        <v>1419</v>
      </c>
      <c r="I81" s="132"/>
      <c r="M81" s="15"/>
    </row>
    <row r="82" spans="1:13" ht="15" customHeight="1">
      <c r="A82" s="11"/>
      <c r="B82" s="1017" t="s">
        <v>1470</v>
      </c>
      <c r="C82" s="1017"/>
      <c r="D82" s="1017"/>
      <c r="E82" s="1017"/>
      <c r="F82" s="12">
        <f>ROUND(((G77/H80+G77/K80)*60)/10*10,2)</f>
        <v>57</v>
      </c>
      <c r="G82" s="10" t="s">
        <v>1419</v>
      </c>
      <c r="M82" s="15"/>
    </row>
    <row r="83" spans="1:13" ht="15" customHeight="1">
      <c r="A83" s="11"/>
      <c r="B83" s="12" t="s">
        <v>1471</v>
      </c>
      <c r="C83" s="17">
        <v>0.8</v>
      </c>
      <c r="D83" s="12" t="s">
        <v>1472</v>
      </c>
      <c r="E83" s="14">
        <v>0.42</v>
      </c>
      <c r="F83" s="12" t="s">
        <v>1473</v>
      </c>
      <c r="G83" s="14">
        <v>0.5</v>
      </c>
      <c r="H83" s="1017" t="s">
        <v>1474</v>
      </c>
      <c r="I83" s="1017"/>
      <c r="J83" s="1017"/>
      <c r="K83" s="139">
        <f>F81+F82+C83+E83+G83</f>
        <v>62.129999999999995</v>
      </c>
      <c r="M83" s="15"/>
    </row>
    <row r="84" spans="1:13" ht="15" customHeight="1">
      <c r="A84" s="11"/>
      <c r="B84" s="1017" t="s">
        <v>1475</v>
      </c>
      <c r="C84" s="1017"/>
      <c r="D84" s="1017"/>
      <c r="E84" s="1017"/>
      <c r="F84" s="16">
        <f>ROUND(((60*D79*J79*G79*F78/1000)/K83)/10*10,2)</f>
        <v>15.64</v>
      </c>
      <c r="G84" s="10" t="s">
        <v>1422</v>
      </c>
      <c r="M84" s="15"/>
    </row>
    <row r="85" spans="1:13" ht="15" customHeight="1">
      <c r="A85" s="11"/>
      <c r="B85" s="12"/>
      <c r="C85" s="12"/>
      <c r="D85" s="12"/>
      <c r="E85" s="12"/>
      <c r="M85" s="15"/>
    </row>
    <row r="86" spans="1:13" ht="15" customHeight="1">
      <c r="A86" s="11"/>
      <c r="B86" s="10" t="s">
        <v>1461</v>
      </c>
      <c r="M86" s="15"/>
    </row>
    <row r="87" spans="1:13" ht="15" customHeight="1">
      <c r="A87" s="11"/>
      <c r="B87" s="12" t="s">
        <v>1003</v>
      </c>
      <c r="C87" s="12" t="s">
        <v>1410</v>
      </c>
      <c r="D87" s="10">
        <f>운반거리!F17</f>
        <v>50</v>
      </c>
      <c r="E87" s="10" t="s">
        <v>1411</v>
      </c>
      <c r="I87" s="14"/>
      <c r="M87" s="15"/>
    </row>
    <row r="88" spans="1:13" ht="15" customHeight="1">
      <c r="A88" s="11"/>
      <c r="B88" s="12" t="s">
        <v>1440</v>
      </c>
      <c r="C88" s="16">
        <v>1</v>
      </c>
      <c r="D88" s="10" t="s">
        <v>989</v>
      </c>
      <c r="E88" s="12" t="s">
        <v>1426</v>
      </c>
      <c r="F88" s="17">
        <v>1</v>
      </c>
      <c r="G88" s="12" t="s">
        <v>1433</v>
      </c>
      <c r="H88" s="17">
        <v>0.9</v>
      </c>
      <c r="I88" s="132"/>
      <c r="K88" s="132"/>
      <c r="M88" s="15"/>
    </row>
    <row r="89" spans="1:13" ht="15" customHeight="1">
      <c r="A89" s="11"/>
      <c r="B89" s="12" t="s">
        <v>1441</v>
      </c>
      <c r="C89" s="13">
        <v>57</v>
      </c>
      <c r="F89" s="12" t="s">
        <v>1434</v>
      </c>
      <c r="G89" s="17">
        <v>83</v>
      </c>
      <c r="H89" s="12" t="s">
        <v>1423</v>
      </c>
      <c r="I89" s="16">
        <v>11</v>
      </c>
      <c r="J89" s="10" t="s">
        <v>1419</v>
      </c>
      <c r="M89" s="15"/>
    </row>
    <row r="90" spans="1:13" ht="15" customHeight="1">
      <c r="A90" s="11"/>
      <c r="B90" s="1017" t="s">
        <v>1476</v>
      </c>
      <c r="C90" s="1017"/>
      <c r="D90" s="1017"/>
      <c r="E90" s="1017"/>
      <c r="F90" s="10">
        <f>ROUND((D87/C89+D87/G89+I89)/10*10,2)</f>
        <v>12.48</v>
      </c>
      <c r="I90" s="132"/>
      <c r="M90" s="15"/>
    </row>
    <row r="91" spans="1:13" ht="15" customHeight="1">
      <c r="A91" s="11"/>
      <c r="B91" s="1017" t="s">
        <v>1420</v>
      </c>
      <c r="C91" s="1017"/>
      <c r="D91" s="1017"/>
      <c r="E91" s="1017"/>
      <c r="F91" s="138">
        <f>ROUND(((F90-I89)/F90)/10*10,3)</f>
        <v>0.11899999999999999</v>
      </c>
      <c r="M91" s="15"/>
    </row>
    <row r="92" spans="1:13" ht="15" customHeight="1">
      <c r="A92" s="11"/>
      <c r="B92" s="1017" t="s">
        <v>1421</v>
      </c>
      <c r="C92" s="1017"/>
      <c r="D92" s="1017"/>
      <c r="E92" s="1017"/>
      <c r="F92" s="10">
        <f>ROUND(((60*C88*F88*H88)/F90)/10*10,2)</f>
        <v>4.33</v>
      </c>
      <c r="G92" s="10" t="s">
        <v>1422</v>
      </c>
      <c r="M92" s="15"/>
    </row>
    <row r="93" spans="1:13" ht="15" customHeight="1">
      <c r="A93" s="11"/>
      <c r="B93" s="28"/>
      <c r="C93" s="28"/>
      <c r="D93" s="28"/>
      <c r="E93" s="28"/>
      <c r="M93" s="15"/>
    </row>
    <row r="94" spans="1:13" ht="15" customHeight="1">
      <c r="A94" s="11"/>
      <c r="B94" s="10" t="s">
        <v>1311</v>
      </c>
      <c r="M94" s="15"/>
    </row>
    <row r="95" spans="1:13" ht="15" customHeight="1">
      <c r="A95" s="11"/>
      <c r="B95" s="12" t="s">
        <v>1423</v>
      </c>
      <c r="C95" s="16">
        <v>11</v>
      </c>
      <c r="E95" s="12" t="s">
        <v>1440</v>
      </c>
      <c r="F95" s="16">
        <v>1</v>
      </c>
      <c r="G95" s="10" t="s">
        <v>989</v>
      </c>
      <c r="H95" s="12" t="s">
        <v>1426</v>
      </c>
      <c r="I95" s="17">
        <v>1</v>
      </c>
      <c r="J95" s="12" t="s">
        <v>1464</v>
      </c>
      <c r="K95" s="78">
        <v>1000</v>
      </c>
      <c r="L95" s="10" t="s">
        <v>1119</v>
      </c>
      <c r="M95" s="15"/>
    </row>
    <row r="96" spans="1:13" ht="15" customHeight="1">
      <c r="A96" s="11"/>
      <c r="B96" s="10" t="s">
        <v>1477</v>
      </c>
      <c r="F96" s="16">
        <f>TRUNC((C95/450*2*1/F95*1/I95)/10*10,2)</f>
        <v>0.04</v>
      </c>
      <c r="G96" s="10" t="s">
        <v>1118</v>
      </c>
      <c r="M96" s="15"/>
    </row>
    <row r="97" spans="1:13" ht="15" customHeight="1">
      <c r="A97" s="11"/>
      <c r="F97" s="16"/>
      <c r="M97" s="15"/>
    </row>
    <row r="98" spans="1:13" ht="15" customHeight="1">
      <c r="A98" s="11"/>
      <c r="B98" s="10" t="s">
        <v>1478</v>
      </c>
      <c r="M98" s="15"/>
    </row>
    <row r="99" spans="1:13" ht="15" customHeight="1">
      <c r="A99" s="11"/>
      <c r="C99" s="10" t="s">
        <v>1309</v>
      </c>
      <c r="F99" s="12" t="s">
        <v>1440</v>
      </c>
      <c r="G99" s="10">
        <v>2.29</v>
      </c>
      <c r="H99" s="10" t="s">
        <v>1120</v>
      </c>
      <c r="M99" s="15"/>
    </row>
    <row r="100" spans="1:13" ht="15" customHeight="1">
      <c r="A100" s="11"/>
      <c r="B100" s="12" t="s">
        <v>1457</v>
      </c>
      <c r="C100" s="16">
        <v>1</v>
      </c>
      <c r="F100" s="12" t="s">
        <v>1479</v>
      </c>
      <c r="G100" s="14">
        <v>0.6</v>
      </c>
      <c r="I100" s="12" t="s">
        <v>1459</v>
      </c>
      <c r="J100" s="10">
        <v>37.4</v>
      </c>
      <c r="K100" s="10" t="s">
        <v>1460</v>
      </c>
      <c r="M100" s="15"/>
    </row>
    <row r="101" spans="1:13" ht="15" customHeight="1">
      <c r="A101" s="11"/>
      <c r="B101" s="12"/>
      <c r="C101" s="16"/>
      <c r="F101" s="12"/>
      <c r="G101" s="14"/>
      <c r="I101" s="12"/>
      <c r="M101" s="15"/>
    </row>
    <row r="102" spans="1:13" ht="15" customHeight="1">
      <c r="A102" s="11"/>
      <c r="B102" s="10" t="s">
        <v>1480</v>
      </c>
      <c r="M102" s="15"/>
    </row>
    <row r="103" spans="1:13" ht="15" customHeight="1">
      <c r="A103" s="11"/>
      <c r="C103" s="10" t="s">
        <v>534</v>
      </c>
      <c r="D103" s="10" t="s">
        <v>536</v>
      </c>
      <c r="E103" s="12" t="s">
        <v>1410</v>
      </c>
      <c r="F103" s="10">
        <f>운반거리!K7</f>
        <v>7</v>
      </c>
      <c r="G103" s="10" t="s">
        <v>1121</v>
      </c>
      <c r="I103" s="12" t="s">
        <v>1429</v>
      </c>
      <c r="J103" s="78">
        <v>15000</v>
      </c>
      <c r="K103" s="10" t="s">
        <v>1119</v>
      </c>
      <c r="M103" s="15"/>
    </row>
    <row r="104" spans="1:13" ht="15" customHeight="1">
      <c r="A104" s="11"/>
      <c r="B104" s="12" t="s">
        <v>1463</v>
      </c>
      <c r="C104" s="17">
        <v>1.2</v>
      </c>
      <c r="E104" s="12" t="s">
        <v>1464</v>
      </c>
      <c r="F104" s="106">
        <v>1800</v>
      </c>
      <c r="G104" s="10" t="s">
        <v>1481</v>
      </c>
      <c r="H104" s="12" t="s">
        <v>1441</v>
      </c>
      <c r="I104" s="17">
        <v>30</v>
      </c>
      <c r="K104" s="12" t="s">
        <v>1434</v>
      </c>
      <c r="L104" s="17">
        <v>35</v>
      </c>
      <c r="M104" s="61"/>
    </row>
    <row r="105" spans="1:13" ht="15" customHeight="1">
      <c r="A105" s="20"/>
      <c r="B105" s="21" t="s">
        <v>1482</v>
      </c>
      <c r="C105" s="21"/>
      <c r="D105" s="108">
        <f>ROUND(((J103*C104)/F104)/10*10,2)</f>
        <v>10</v>
      </c>
      <c r="E105" s="21" t="s">
        <v>1120</v>
      </c>
      <c r="F105" s="128" t="s">
        <v>1433</v>
      </c>
      <c r="G105" s="127">
        <v>0.9</v>
      </c>
      <c r="H105" s="21"/>
      <c r="I105" s="21" t="s">
        <v>1483</v>
      </c>
      <c r="J105" s="170">
        <v>1</v>
      </c>
      <c r="K105" s="127"/>
      <c r="L105" s="21"/>
      <c r="M105" s="22"/>
    </row>
    <row r="106" spans="1:13" ht="15" customHeight="1">
      <c r="A106" s="7"/>
      <c r="B106" s="8" t="s">
        <v>1484</v>
      </c>
      <c r="C106" s="8"/>
      <c r="D106" s="8">
        <f>ROUND(D105/(G99*C100)/10*10,1)</f>
        <v>4.4000000000000004</v>
      </c>
      <c r="E106" s="8" t="s">
        <v>1485</v>
      </c>
      <c r="F106" s="171"/>
      <c r="G106" s="8"/>
      <c r="H106" s="8"/>
      <c r="I106" s="171"/>
      <c r="J106" s="8"/>
      <c r="K106" s="8"/>
      <c r="L106" s="8"/>
      <c r="M106" s="9"/>
    </row>
    <row r="107" spans="1:13" ht="15" customHeight="1">
      <c r="A107" s="11"/>
      <c r="B107" s="10" t="s">
        <v>1486</v>
      </c>
      <c r="F107" s="10">
        <f>ROUND((J100*D106/(G100*60))/10*10,2)</f>
        <v>4.57</v>
      </c>
      <c r="G107" s="10" t="s">
        <v>1419</v>
      </c>
      <c r="I107" s="132"/>
      <c r="K107" s="12"/>
      <c r="M107" s="15"/>
    </row>
    <row r="108" spans="1:13" ht="15" customHeight="1">
      <c r="A108" s="11"/>
      <c r="B108" s="10" t="s">
        <v>1594</v>
      </c>
      <c r="F108" s="10">
        <f>ROUND((((F103/I104)+(F103/L104))*60)/10*10,2)</f>
        <v>26</v>
      </c>
      <c r="G108" s="10" t="s">
        <v>1419</v>
      </c>
      <c r="M108" s="15"/>
    </row>
    <row r="109" spans="1:13" ht="15" customHeight="1">
      <c r="A109" s="11"/>
      <c r="B109" s="12" t="s">
        <v>1595</v>
      </c>
      <c r="C109" s="14">
        <v>0.8</v>
      </c>
      <c r="D109" s="12" t="s">
        <v>1472</v>
      </c>
      <c r="E109" s="14">
        <v>0.42</v>
      </c>
      <c r="F109" s="12" t="s">
        <v>1596</v>
      </c>
      <c r="G109" s="14">
        <v>3.77</v>
      </c>
      <c r="I109" s="10" t="s">
        <v>1597</v>
      </c>
      <c r="L109" s="10">
        <f>F107+F108+C109+E109+G109</f>
        <v>35.56</v>
      </c>
      <c r="M109" s="15"/>
    </row>
    <row r="110" spans="1:13" ht="15" customHeight="1">
      <c r="A110" s="11"/>
      <c r="B110" s="10" t="s">
        <v>1598</v>
      </c>
      <c r="F110" s="10">
        <f>ROUND((60*D105*J105*G105*(F104/1000)/L109)/10*10,2)</f>
        <v>27.33</v>
      </c>
      <c r="G110" s="10" t="s">
        <v>1422</v>
      </c>
      <c r="M110" s="15"/>
    </row>
    <row r="111" spans="1:13" ht="15" customHeight="1">
      <c r="A111" s="11"/>
      <c r="M111" s="15"/>
    </row>
    <row r="112" spans="1:13" ht="15" customHeight="1">
      <c r="A112" s="11"/>
      <c r="B112" s="10" t="s">
        <v>1480</v>
      </c>
      <c r="M112" s="15"/>
    </row>
    <row r="113" spans="1:13" ht="15" customHeight="1">
      <c r="A113" s="11"/>
      <c r="B113" s="12" t="s">
        <v>1003</v>
      </c>
      <c r="C113" s="12" t="s">
        <v>1410</v>
      </c>
      <c r="D113" s="10">
        <f>운반거리!F17</f>
        <v>50</v>
      </c>
      <c r="E113" s="10" t="s">
        <v>1411</v>
      </c>
      <c r="I113" s="14"/>
      <c r="M113" s="15"/>
    </row>
    <row r="114" spans="1:13" ht="15" customHeight="1">
      <c r="A114" s="11"/>
      <c r="B114" s="12" t="s">
        <v>1440</v>
      </c>
      <c r="C114" s="16">
        <v>1</v>
      </c>
      <c r="D114" s="10" t="s">
        <v>989</v>
      </c>
      <c r="E114" s="12" t="s">
        <v>1426</v>
      </c>
      <c r="F114" s="17">
        <v>1</v>
      </c>
      <c r="G114" s="12" t="s">
        <v>1433</v>
      </c>
      <c r="H114" s="17">
        <v>0.9</v>
      </c>
      <c r="I114" s="132"/>
      <c r="K114" s="132"/>
      <c r="M114" s="15"/>
    </row>
    <row r="115" spans="1:13" ht="15" customHeight="1">
      <c r="A115" s="11"/>
      <c r="B115" s="12" t="s">
        <v>1441</v>
      </c>
      <c r="C115" s="13">
        <v>57</v>
      </c>
      <c r="F115" s="12" t="s">
        <v>1434</v>
      </c>
      <c r="G115" s="17">
        <v>83</v>
      </c>
      <c r="H115" s="12" t="s">
        <v>1423</v>
      </c>
      <c r="I115" s="16">
        <v>13</v>
      </c>
      <c r="J115" s="10" t="s">
        <v>1419</v>
      </c>
      <c r="M115" s="15"/>
    </row>
    <row r="116" spans="1:13" ht="15" customHeight="1">
      <c r="A116" s="11"/>
      <c r="B116" s="1017" t="s">
        <v>1476</v>
      </c>
      <c r="C116" s="1017"/>
      <c r="D116" s="1017"/>
      <c r="E116" s="1017"/>
      <c r="F116" s="10">
        <f>ROUND((D113/C115+D113/G115+I115)/10*10,2)</f>
        <v>14.48</v>
      </c>
      <c r="I116" s="132"/>
      <c r="M116" s="15"/>
    </row>
    <row r="117" spans="1:13" ht="15" customHeight="1">
      <c r="A117" s="11"/>
      <c r="B117" s="1017" t="s">
        <v>1420</v>
      </c>
      <c r="C117" s="1017"/>
      <c r="D117" s="1017"/>
      <c r="E117" s="1017"/>
      <c r="F117" s="138">
        <f>ROUND(((F116-I115)/F116)/10*10,3)</f>
        <v>0.10199999999999999</v>
      </c>
      <c r="M117" s="15"/>
    </row>
    <row r="118" spans="1:13" ht="15" customHeight="1">
      <c r="A118" s="11"/>
      <c r="B118" s="1017" t="s">
        <v>1421</v>
      </c>
      <c r="C118" s="1017"/>
      <c r="D118" s="1017"/>
      <c r="E118" s="1017"/>
      <c r="F118" s="10">
        <f>ROUND(((60*C114*F114*H114)/F116)/10*10,2)</f>
        <v>3.73</v>
      </c>
      <c r="G118" s="10" t="s">
        <v>1422</v>
      </c>
      <c r="M118" s="15"/>
    </row>
    <row r="119" spans="1:13" ht="15" customHeight="1">
      <c r="A119" s="11"/>
      <c r="D119" s="12"/>
      <c r="E119" s="12"/>
      <c r="F119" s="12"/>
      <c r="G119" s="12"/>
      <c r="H119" s="14"/>
      <c r="M119" s="15"/>
    </row>
    <row r="120" spans="1:13" ht="15" customHeight="1">
      <c r="A120" s="11"/>
      <c r="B120" s="10" t="s">
        <v>1599</v>
      </c>
      <c r="M120" s="15"/>
    </row>
    <row r="121" spans="1:13" ht="15" customHeight="1">
      <c r="A121" s="11"/>
      <c r="C121" s="10" t="s">
        <v>527</v>
      </c>
      <c r="E121" s="10" t="s">
        <v>537</v>
      </c>
      <c r="G121" s="10" t="s">
        <v>535</v>
      </c>
      <c r="I121" s="10" t="s">
        <v>630</v>
      </c>
      <c r="M121" s="15"/>
    </row>
    <row r="122" spans="1:13" ht="15" customHeight="1">
      <c r="A122" s="11"/>
      <c r="C122" s="10" t="s">
        <v>538</v>
      </c>
      <c r="F122" s="10" t="s">
        <v>1449</v>
      </c>
      <c r="H122" s="132"/>
      <c r="I122" s="10">
        <v>0.05</v>
      </c>
      <c r="J122" s="10" t="s">
        <v>1328</v>
      </c>
      <c r="M122" s="15"/>
    </row>
    <row r="123" spans="1:13" ht="15" customHeight="1">
      <c r="A123" s="11"/>
      <c r="H123" s="132"/>
      <c r="M123" s="15"/>
    </row>
    <row r="124" spans="1:13" ht="15" customHeight="1">
      <c r="A124" s="11"/>
      <c r="B124" s="10" t="s">
        <v>1600</v>
      </c>
      <c r="M124" s="15"/>
    </row>
    <row r="125" spans="1:13" ht="15" customHeight="1">
      <c r="A125" s="11"/>
      <c r="C125" s="10" t="s">
        <v>1309</v>
      </c>
      <c r="F125" s="12" t="s">
        <v>1412</v>
      </c>
      <c r="G125" s="10">
        <v>2.29</v>
      </c>
      <c r="H125" s="10" t="s">
        <v>1120</v>
      </c>
      <c r="M125" s="15"/>
    </row>
    <row r="126" spans="1:13" ht="15" customHeight="1">
      <c r="A126" s="11"/>
      <c r="C126" s="12" t="s">
        <v>1601</v>
      </c>
      <c r="D126" s="13">
        <v>0.7</v>
      </c>
      <c r="E126" s="12" t="s">
        <v>1458</v>
      </c>
      <c r="F126" s="14">
        <v>0.6</v>
      </c>
      <c r="G126" s="12" t="s">
        <v>1459</v>
      </c>
      <c r="H126" s="10">
        <v>38.4</v>
      </c>
      <c r="I126" s="10" t="s">
        <v>1460</v>
      </c>
      <c r="M126" s="15"/>
    </row>
    <row r="127" spans="1:13" ht="15" customHeight="1">
      <c r="A127" s="11"/>
      <c r="C127" s="12"/>
      <c r="D127" s="13"/>
      <c r="E127" s="12"/>
      <c r="F127" s="14"/>
      <c r="G127" s="12"/>
      <c r="M127" s="15"/>
    </row>
    <row r="128" spans="1:13" ht="15" customHeight="1">
      <c r="A128" s="11"/>
      <c r="B128" s="10" t="s">
        <v>1602</v>
      </c>
      <c r="M128" s="15"/>
    </row>
    <row r="129" spans="1:13" ht="15" customHeight="1">
      <c r="A129" s="11"/>
      <c r="C129" s="10" t="s">
        <v>534</v>
      </c>
      <c r="D129" s="10" t="s">
        <v>536</v>
      </c>
      <c r="F129" s="12" t="s">
        <v>1410</v>
      </c>
      <c r="G129" s="10">
        <f>운반거리!K7</f>
        <v>7</v>
      </c>
      <c r="H129" s="10" t="s">
        <v>1121</v>
      </c>
      <c r="M129" s="15"/>
    </row>
    <row r="130" spans="1:13" ht="15" customHeight="1">
      <c r="A130" s="11"/>
      <c r="C130" s="12" t="s">
        <v>1429</v>
      </c>
      <c r="D130" s="78">
        <v>15000</v>
      </c>
      <c r="E130" s="10" t="s">
        <v>1603</v>
      </c>
      <c r="F130" s="14">
        <v>1.1499999999999999</v>
      </c>
      <c r="G130" s="12" t="s">
        <v>1464</v>
      </c>
      <c r="H130" s="78">
        <v>1700</v>
      </c>
      <c r="I130" s="10" t="s">
        <v>1465</v>
      </c>
      <c r="J130" s="12" t="s">
        <v>1415</v>
      </c>
      <c r="K130" s="14">
        <v>20</v>
      </c>
      <c r="L130" s="12" t="s">
        <v>1434</v>
      </c>
      <c r="M130" s="61">
        <v>20</v>
      </c>
    </row>
    <row r="131" spans="1:13" ht="15" customHeight="1">
      <c r="A131" s="11"/>
      <c r="B131" s="1017" t="s">
        <v>1466</v>
      </c>
      <c r="C131" s="1017"/>
      <c r="D131" s="10">
        <f>ROUND((F130*D130/H130)/10*10,2)</f>
        <v>10.15</v>
      </c>
      <c r="E131" s="10" t="s">
        <v>1604</v>
      </c>
      <c r="F131" s="14">
        <v>0.9</v>
      </c>
      <c r="G131" s="10" t="s">
        <v>703</v>
      </c>
      <c r="I131" s="17">
        <v>0.93</v>
      </c>
      <c r="J131" s="14" t="s">
        <v>1605</v>
      </c>
      <c r="L131" s="14">
        <f>ROUND((D131/(G125*D126))/10*10,2)</f>
        <v>6.33</v>
      </c>
      <c r="M131" s="15"/>
    </row>
    <row r="132" spans="1:13" ht="15" customHeight="1">
      <c r="A132" s="11"/>
      <c r="C132" s="10" t="s">
        <v>1606</v>
      </c>
      <c r="D132" s="132"/>
      <c r="E132" s="10">
        <f>ROUND(((H126*L131)/(F126*60))/10*10,2)</f>
        <v>6.75</v>
      </c>
      <c r="F132" s="10" t="s">
        <v>1419</v>
      </c>
      <c r="H132" s="1017" t="s">
        <v>1607</v>
      </c>
      <c r="I132" s="1017"/>
      <c r="J132" s="1017"/>
      <c r="K132" s="14">
        <f>ROUND((((G129/K130)+(G129/M130))*60)/10*10,2)</f>
        <v>42</v>
      </c>
      <c r="L132" s="12" t="s">
        <v>1471</v>
      </c>
      <c r="M132" s="61">
        <v>0.8</v>
      </c>
    </row>
    <row r="133" spans="1:13" ht="15" customHeight="1">
      <c r="A133" s="11"/>
      <c r="D133" s="12" t="s">
        <v>1472</v>
      </c>
      <c r="E133" s="14">
        <v>0.42</v>
      </c>
      <c r="F133" s="12" t="s">
        <v>1473</v>
      </c>
      <c r="G133" s="14">
        <v>3.77</v>
      </c>
      <c r="H133" s="1017" t="s">
        <v>1608</v>
      </c>
      <c r="I133" s="1017"/>
      <c r="J133" s="1017"/>
      <c r="K133" s="14">
        <f>E132+K132+M132+E133+G133</f>
        <v>53.74</v>
      </c>
      <c r="M133" s="15"/>
    </row>
    <row r="134" spans="1:13" ht="15" customHeight="1">
      <c r="A134" s="11"/>
      <c r="C134" s="1017" t="s">
        <v>1609</v>
      </c>
      <c r="D134" s="1017"/>
      <c r="E134" s="1017"/>
      <c r="F134" s="10">
        <f>ROUND(((60*D131*I131*0.9)/K133)/10*10,2)</f>
        <v>9.49</v>
      </c>
      <c r="G134" s="10" t="s">
        <v>987</v>
      </c>
      <c r="M134" s="15"/>
    </row>
    <row r="135" spans="1:13" ht="15" customHeight="1">
      <c r="A135" s="11"/>
      <c r="C135" s="12"/>
      <c r="D135" s="12"/>
      <c r="E135" s="12"/>
      <c r="M135" s="15"/>
    </row>
    <row r="136" spans="1:13" ht="15" customHeight="1">
      <c r="A136" s="11"/>
      <c r="B136" s="10" t="s">
        <v>1610</v>
      </c>
      <c r="M136" s="15"/>
    </row>
    <row r="137" spans="1:13" ht="15" customHeight="1">
      <c r="A137" s="11"/>
      <c r="C137" s="10" t="s">
        <v>1611</v>
      </c>
      <c r="D137" s="10">
        <f>운반거리!F17</f>
        <v>50</v>
      </c>
      <c r="E137" s="10" t="s">
        <v>1411</v>
      </c>
      <c r="F137" s="10" t="s">
        <v>1612</v>
      </c>
      <c r="H137" s="14">
        <f>ROUND(((1000*F130)/H130)/10*10,2)</f>
        <v>0.68</v>
      </c>
      <c r="M137" s="15"/>
    </row>
    <row r="138" spans="1:13" ht="15" customHeight="1">
      <c r="A138" s="11"/>
      <c r="C138" s="1017" t="s">
        <v>1613</v>
      </c>
      <c r="D138" s="1017"/>
      <c r="E138" s="14">
        <v>0.93</v>
      </c>
      <c r="F138" s="12" t="s">
        <v>1451</v>
      </c>
      <c r="G138" s="14">
        <v>0.9</v>
      </c>
      <c r="H138" s="12" t="s">
        <v>1415</v>
      </c>
      <c r="I138" s="14">
        <v>57</v>
      </c>
      <c r="J138" s="12" t="s">
        <v>1434</v>
      </c>
      <c r="K138" s="14">
        <v>83</v>
      </c>
      <c r="L138" s="12" t="s">
        <v>1423</v>
      </c>
      <c r="M138" s="61">
        <v>13</v>
      </c>
    </row>
    <row r="139" spans="1:13" ht="15" customHeight="1">
      <c r="A139" s="11"/>
      <c r="D139" s="1017" t="s">
        <v>1476</v>
      </c>
      <c r="E139" s="1017"/>
      <c r="F139" s="1017"/>
      <c r="G139" s="10">
        <f>ROUND(((D137/I138)+(D137/K138)+M138)/10*10,2)</f>
        <v>14.48</v>
      </c>
      <c r="H139" s="132"/>
      <c r="M139" s="15"/>
    </row>
    <row r="140" spans="1:13" ht="15" customHeight="1">
      <c r="A140" s="20"/>
      <c r="B140" s="21"/>
      <c r="C140" s="21"/>
      <c r="D140" s="21" t="s">
        <v>1420</v>
      </c>
      <c r="E140" s="21"/>
      <c r="F140" s="21"/>
      <c r="G140" s="172">
        <f>ROUND(((G139-M138)/G139)/10*10,3)</f>
        <v>0.10199999999999999</v>
      </c>
      <c r="H140" s="64"/>
      <c r="I140" s="64"/>
      <c r="J140" s="64"/>
      <c r="K140" s="21"/>
      <c r="L140" s="21"/>
      <c r="M140" s="22"/>
    </row>
    <row r="141" spans="1:13" ht="15" customHeight="1">
      <c r="A141" s="7"/>
      <c r="B141" s="8"/>
      <c r="C141" s="8"/>
      <c r="D141" s="8" t="s">
        <v>1614</v>
      </c>
      <c r="E141" s="8"/>
      <c r="F141" s="8"/>
      <c r="G141" s="173">
        <f>ROUND((60*H137*E138*G138/G139)/10*10,2)</f>
        <v>2.36</v>
      </c>
      <c r="H141" s="8" t="s">
        <v>987</v>
      </c>
      <c r="I141" s="171"/>
      <c r="J141" s="8"/>
      <c r="K141" s="8"/>
      <c r="L141" s="8"/>
      <c r="M141" s="9"/>
    </row>
    <row r="142" spans="1:13" ht="15" customHeight="1">
      <c r="A142" s="11"/>
      <c r="G142" s="16"/>
      <c r="I142" s="132"/>
      <c r="M142" s="15"/>
    </row>
    <row r="143" spans="1:13" ht="15" customHeight="1">
      <c r="A143" s="11"/>
      <c r="B143" s="10" t="s">
        <v>1615</v>
      </c>
      <c r="M143" s="15"/>
    </row>
    <row r="144" spans="1:13" ht="15" customHeight="1">
      <c r="A144" s="11"/>
      <c r="C144" s="10" t="s">
        <v>527</v>
      </c>
      <c r="E144" s="10" t="s">
        <v>1616</v>
      </c>
      <c r="G144" s="10" t="s">
        <v>529</v>
      </c>
      <c r="H144" s="132"/>
      <c r="I144" s="10" t="s">
        <v>528</v>
      </c>
      <c r="M144" s="15"/>
    </row>
    <row r="145" spans="1:13" ht="15" customHeight="1">
      <c r="A145" s="11"/>
      <c r="C145" s="10" t="s">
        <v>1612</v>
      </c>
      <c r="E145" s="14">
        <v>0.64</v>
      </c>
      <c r="F145" s="10" t="s">
        <v>1617</v>
      </c>
      <c r="H145" s="132"/>
      <c r="I145" s="10">
        <v>0.09</v>
      </c>
      <c r="J145" s="10" t="s">
        <v>704</v>
      </c>
      <c r="M145" s="15"/>
    </row>
    <row r="146" spans="1:13" ht="15" customHeight="1">
      <c r="A146" s="11"/>
      <c r="H146" s="132"/>
      <c r="M146" s="15"/>
    </row>
    <row r="147" spans="1:13" ht="15" customHeight="1">
      <c r="A147" s="11"/>
      <c r="B147" s="10" t="s">
        <v>1619</v>
      </c>
      <c r="M147" s="15"/>
    </row>
    <row r="148" spans="1:13" ht="15" customHeight="1">
      <c r="A148" s="11"/>
      <c r="C148" s="10" t="s">
        <v>1620</v>
      </c>
      <c r="M148" s="15"/>
    </row>
    <row r="149" spans="1:13" ht="15" customHeight="1">
      <c r="A149" s="11"/>
      <c r="B149" s="12" t="s">
        <v>1431</v>
      </c>
      <c r="C149" s="10">
        <v>1</v>
      </c>
      <c r="D149" s="10" t="s">
        <v>1621</v>
      </c>
      <c r="E149" s="14">
        <v>0.55000000000000004</v>
      </c>
      <c r="F149" s="12" t="s">
        <v>1479</v>
      </c>
      <c r="G149" s="14">
        <v>0.45</v>
      </c>
      <c r="H149" s="12" t="s">
        <v>1459</v>
      </c>
      <c r="I149" s="10">
        <v>23</v>
      </c>
      <c r="J149" s="10" t="s">
        <v>1460</v>
      </c>
      <c r="M149" s="15"/>
    </row>
    <row r="150" spans="1:13" ht="15" customHeight="1">
      <c r="A150" s="11"/>
      <c r="B150" s="12"/>
      <c r="E150" s="14"/>
      <c r="F150" s="12"/>
      <c r="G150" s="14"/>
      <c r="H150" s="12"/>
      <c r="M150" s="15"/>
    </row>
    <row r="151" spans="1:13" ht="15" customHeight="1">
      <c r="A151" s="11"/>
      <c r="B151" s="10" t="s">
        <v>1622</v>
      </c>
      <c r="M151" s="15"/>
    </row>
    <row r="152" spans="1:13" ht="15" customHeight="1">
      <c r="A152" s="11"/>
      <c r="C152" s="10" t="s">
        <v>534</v>
      </c>
      <c r="D152" s="10" t="s">
        <v>530</v>
      </c>
      <c r="E152" s="12" t="s">
        <v>1410</v>
      </c>
      <c r="F152" s="10">
        <f>운반거리!K8</f>
        <v>13</v>
      </c>
      <c r="G152" s="10" t="s">
        <v>1623</v>
      </c>
      <c r="M152" s="15"/>
    </row>
    <row r="153" spans="1:13" ht="15" customHeight="1">
      <c r="A153" s="11"/>
      <c r="C153" s="12" t="s">
        <v>1429</v>
      </c>
      <c r="D153" s="78">
        <v>15000</v>
      </c>
      <c r="E153" s="12" t="s">
        <v>1624</v>
      </c>
      <c r="F153" s="14">
        <v>1.1200000000000001</v>
      </c>
      <c r="H153" s="132"/>
      <c r="J153" s="132"/>
      <c r="L153" s="132"/>
      <c r="M153" s="15"/>
    </row>
    <row r="154" spans="1:13" ht="15" customHeight="1">
      <c r="A154" s="11"/>
      <c r="C154" s="12" t="s">
        <v>1464</v>
      </c>
      <c r="D154" s="78">
        <v>1900</v>
      </c>
      <c r="E154" s="10" t="s">
        <v>1465</v>
      </c>
      <c r="F154" s="12" t="s">
        <v>1415</v>
      </c>
      <c r="G154" s="14">
        <v>20</v>
      </c>
      <c r="H154" s="12" t="s">
        <v>1434</v>
      </c>
      <c r="I154" s="14">
        <v>20</v>
      </c>
      <c r="M154" s="15"/>
    </row>
    <row r="155" spans="1:13" ht="15" customHeight="1">
      <c r="A155" s="11"/>
      <c r="C155" s="1017" t="s">
        <v>1466</v>
      </c>
      <c r="D155" s="1017"/>
      <c r="E155" s="10">
        <f>ROUND((F153*D153/D154)/10*10,2)</f>
        <v>8.84</v>
      </c>
      <c r="F155" s="10" t="s">
        <v>1120</v>
      </c>
      <c r="G155" s="12" t="s">
        <v>1433</v>
      </c>
      <c r="H155" s="14">
        <v>0.9</v>
      </c>
      <c r="I155" s="10" t="s">
        <v>1625</v>
      </c>
      <c r="J155" s="14">
        <v>0.89</v>
      </c>
      <c r="M155" s="15"/>
    </row>
    <row r="156" spans="1:13" ht="15" customHeight="1">
      <c r="A156" s="11"/>
      <c r="C156" s="1017" t="s">
        <v>1468</v>
      </c>
      <c r="D156" s="1017"/>
      <c r="E156" s="10">
        <f>ROUND((E155/(C149*E149))/10*10,2)</f>
        <v>16.07</v>
      </c>
      <c r="G156" s="10" t="s">
        <v>1626</v>
      </c>
      <c r="I156" s="14">
        <f>ROUND(((I149*E156)/G149/60)/10*10,2)</f>
        <v>13.69</v>
      </c>
      <c r="M156" s="15"/>
    </row>
    <row r="157" spans="1:13" ht="15" customHeight="1">
      <c r="A157" s="11"/>
      <c r="C157" s="1017" t="s">
        <v>1607</v>
      </c>
      <c r="D157" s="1017"/>
      <c r="E157" s="1017"/>
      <c r="F157" s="16">
        <f>ROUND((((F152/G154)+(F152/I154))*60)/10*10,2)</f>
        <v>78</v>
      </c>
      <c r="G157" s="10" t="s">
        <v>1627</v>
      </c>
      <c r="H157" s="132"/>
      <c r="J157" s="14">
        <f>ROUND((F157/F159)/10*10,2)</f>
        <v>0.84</v>
      </c>
      <c r="K157" s="12" t="s">
        <v>1628</v>
      </c>
      <c r="L157" s="10">
        <f>I156+D158</f>
        <v>14.49</v>
      </c>
      <c r="M157" s="15"/>
    </row>
    <row r="158" spans="1:13" ht="15" customHeight="1">
      <c r="A158" s="11"/>
      <c r="C158" s="12" t="s">
        <v>1595</v>
      </c>
      <c r="D158" s="14">
        <v>0.8</v>
      </c>
      <c r="F158" s="12" t="s">
        <v>1629</v>
      </c>
      <c r="G158" s="14">
        <v>0.42</v>
      </c>
      <c r="H158" s="12" t="s">
        <v>1596</v>
      </c>
      <c r="I158" s="14">
        <v>0</v>
      </c>
      <c r="J158" s="132"/>
      <c r="M158" s="15"/>
    </row>
    <row r="159" spans="1:13" ht="15" customHeight="1">
      <c r="A159" s="11"/>
      <c r="C159" s="1017" t="s">
        <v>1630</v>
      </c>
      <c r="D159" s="1017"/>
      <c r="E159" s="1017"/>
      <c r="F159" s="140">
        <f>I156+F157+D158+G158+I158</f>
        <v>92.91</v>
      </c>
      <c r="J159" s="132"/>
      <c r="M159" s="15"/>
    </row>
    <row r="160" spans="1:13" ht="15" customHeight="1">
      <c r="A160" s="11"/>
      <c r="C160" s="1017" t="s">
        <v>1609</v>
      </c>
      <c r="D160" s="1017"/>
      <c r="E160" s="1017"/>
      <c r="F160" s="16">
        <f>ROUND((60*E155*J155*H155/F159)/10*10,2)</f>
        <v>4.57</v>
      </c>
      <c r="G160" s="10" t="s">
        <v>987</v>
      </c>
      <c r="M160" s="15"/>
    </row>
    <row r="161" spans="1:13" ht="15" customHeight="1">
      <c r="A161" s="11"/>
      <c r="C161" s="28"/>
      <c r="D161" s="28"/>
      <c r="E161" s="28"/>
      <c r="F161" s="16"/>
      <c r="M161" s="15"/>
    </row>
    <row r="162" spans="1:13" ht="15" customHeight="1">
      <c r="A162" s="11"/>
      <c r="B162" s="10" t="s">
        <v>1622</v>
      </c>
      <c r="M162" s="15"/>
    </row>
    <row r="163" spans="1:13" ht="15" customHeight="1">
      <c r="A163" s="11"/>
      <c r="C163" s="10" t="s">
        <v>1611</v>
      </c>
      <c r="D163" s="10">
        <f>운반거리!F17</f>
        <v>50</v>
      </c>
      <c r="E163" s="10" t="s">
        <v>1411</v>
      </c>
      <c r="F163" s="10" t="s">
        <v>1612</v>
      </c>
      <c r="H163" s="14">
        <f>ROUND(((1000*F153)/D154)/10*10,2)</f>
        <v>0.59</v>
      </c>
      <c r="M163" s="15"/>
    </row>
    <row r="164" spans="1:13" ht="15" customHeight="1">
      <c r="A164" s="11"/>
      <c r="C164" s="28" t="s">
        <v>1631</v>
      </c>
      <c r="D164" s="28"/>
      <c r="E164" s="14">
        <v>0.89</v>
      </c>
      <c r="F164" s="12" t="s">
        <v>1451</v>
      </c>
      <c r="G164" s="14">
        <v>0.9</v>
      </c>
      <c r="H164" s="12" t="s">
        <v>1415</v>
      </c>
      <c r="I164" s="14">
        <v>57</v>
      </c>
      <c r="J164" s="12" t="s">
        <v>1434</v>
      </c>
      <c r="K164" s="14">
        <v>83</v>
      </c>
      <c r="L164" s="12" t="s">
        <v>1423</v>
      </c>
      <c r="M164" s="61">
        <v>13</v>
      </c>
    </row>
    <row r="165" spans="1:13" ht="15" customHeight="1">
      <c r="A165" s="11"/>
      <c r="D165" s="28" t="s">
        <v>1476</v>
      </c>
      <c r="E165" s="28"/>
      <c r="F165" s="28"/>
      <c r="G165" s="10">
        <f>ROUND(((D163/I164)+(D163/K164)+M164)/10*10,2)</f>
        <v>14.48</v>
      </c>
      <c r="H165" s="132"/>
      <c r="M165" s="15"/>
    </row>
    <row r="166" spans="1:13" ht="15" customHeight="1">
      <c r="A166" s="11"/>
      <c r="D166" s="10" t="s">
        <v>1420</v>
      </c>
      <c r="G166" s="135">
        <f>ROUND(((G165-M164)/G165)/10*10,3)</f>
        <v>0.10199999999999999</v>
      </c>
      <c r="H166" s="132"/>
      <c r="I166" s="132"/>
      <c r="J166" s="132"/>
      <c r="M166" s="15"/>
    </row>
    <row r="167" spans="1:13" ht="15" customHeight="1">
      <c r="A167" s="11"/>
      <c r="D167" s="10" t="s">
        <v>1614</v>
      </c>
      <c r="G167" s="16">
        <f>ROUND((60*H163*E164*G164/G165)/10*10,2)</f>
        <v>1.96</v>
      </c>
      <c r="H167" s="10" t="s">
        <v>987</v>
      </c>
      <c r="I167" s="132"/>
      <c r="M167" s="15"/>
    </row>
    <row r="168" spans="1:13" ht="15" customHeight="1">
      <c r="A168" s="11"/>
      <c r="G168" s="16"/>
      <c r="I168" s="132"/>
      <c r="M168" s="15"/>
    </row>
    <row r="169" spans="1:13" ht="15" customHeight="1">
      <c r="A169" s="11"/>
      <c r="B169" s="10" t="s">
        <v>1632</v>
      </c>
      <c r="M169" s="15"/>
    </row>
    <row r="170" spans="1:13" ht="15" customHeight="1">
      <c r="A170" s="11"/>
      <c r="C170" s="10" t="s">
        <v>527</v>
      </c>
      <c r="E170" s="10" t="s">
        <v>1633</v>
      </c>
      <c r="G170" s="10" t="s">
        <v>1634</v>
      </c>
      <c r="H170" s="132"/>
      <c r="I170" s="10" t="s">
        <v>528</v>
      </c>
      <c r="M170" s="15"/>
    </row>
    <row r="171" spans="1:13" ht="15" customHeight="1">
      <c r="A171" s="11"/>
      <c r="C171" s="10" t="s">
        <v>1612</v>
      </c>
      <c r="E171" s="14">
        <v>0.59</v>
      </c>
      <c r="G171" s="10" t="s">
        <v>1449</v>
      </c>
      <c r="H171" s="132"/>
      <c r="J171" s="10">
        <v>0.11</v>
      </c>
      <c r="K171" s="10" t="s">
        <v>1328</v>
      </c>
      <c r="M171" s="15"/>
    </row>
    <row r="172" spans="1:13" ht="15" customHeight="1">
      <c r="A172" s="11"/>
      <c r="H172" s="132"/>
      <c r="M172" s="15"/>
    </row>
    <row r="173" spans="1:13" ht="15" customHeight="1">
      <c r="A173" s="11"/>
      <c r="B173" s="10" t="s">
        <v>1635</v>
      </c>
      <c r="M173" s="15"/>
    </row>
    <row r="174" spans="1:13" ht="15" customHeight="1">
      <c r="A174" s="11"/>
      <c r="B174" s="12" t="s">
        <v>2483</v>
      </c>
      <c r="C174" s="12" t="s">
        <v>1410</v>
      </c>
      <c r="D174" s="10">
        <v>0.1</v>
      </c>
      <c r="E174" s="10" t="s">
        <v>2499</v>
      </c>
      <c r="M174" s="15"/>
    </row>
    <row r="175" spans="1:13" ht="15" customHeight="1">
      <c r="A175" s="20"/>
      <c r="B175" s="128" t="s">
        <v>2500</v>
      </c>
      <c r="C175" s="128"/>
      <c r="D175" s="21"/>
      <c r="E175" s="21"/>
      <c r="F175" s="21"/>
      <c r="G175" s="21"/>
      <c r="H175" s="21"/>
      <c r="I175" s="21"/>
      <c r="J175" s="21"/>
      <c r="K175" s="21"/>
      <c r="L175" s="21"/>
      <c r="M175" s="22"/>
    </row>
    <row r="176" spans="1:13" ht="15" customHeight="1">
      <c r="A176" s="7"/>
      <c r="B176" s="842" t="s">
        <v>1412</v>
      </c>
      <c r="C176" s="843">
        <v>2.5</v>
      </c>
      <c r="D176" s="844" t="s">
        <v>1413</v>
      </c>
      <c r="E176" s="845">
        <v>1</v>
      </c>
      <c r="F176" s="842" t="s">
        <v>1414</v>
      </c>
      <c r="G176" s="845">
        <v>0.9</v>
      </c>
      <c r="H176" s="842" t="s">
        <v>1415</v>
      </c>
      <c r="I176" s="845">
        <v>10</v>
      </c>
      <c r="J176" s="842" t="s">
        <v>1416</v>
      </c>
      <c r="K176" s="845">
        <v>15</v>
      </c>
      <c r="L176" s="174" t="s">
        <v>1166</v>
      </c>
      <c r="M176" s="175">
        <v>13</v>
      </c>
    </row>
    <row r="177" spans="1:13" ht="15" customHeight="1">
      <c r="A177" s="11"/>
      <c r="C177" s="12"/>
      <c r="D177" s="12"/>
      <c r="E177" s="12" t="s">
        <v>1418</v>
      </c>
      <c r="F177" s="16">
        <f>ROUND(((D174/10)+(D174/15)+13),2)</f>
        <v>13.02</v>
      </c>
      <c r="G177" s="10" t="s">
        <v>1419</v>
      </c>
      <c r="H177" s="12" t="s">
        <v>2485</v>
      </c>
      <c r="I177" s="12" t="s">
        <v>2486</v>
      </c>
      <c r="J177" s="12">
        <v>1E-3</v>
      </c>
      <c r="K177" s="135"/>
      <c r="M177" s="15"/>
    </row>
    <row r="178" spans="1:13" ht="15" customHeight="1">
      <c r="A178" s="11"/>
      <c r="B178" s="14" t="s">
        <v>2487</v>
      </c>
      <c r="C178" s="12" t="s">
        <v>2488</v>
      </c>
      <c r="D178" s="12" t="s">
        <v>2489</v>
      </c>
      <c r="E178" s="12" t="s">
        <v>2490</v>
      </c>
      <c r="F178" s="12" t="s">
        <v>2491</v>
      </c>
      <c r="G178" s="388" t="s">
        <v>2492</v>
      </c>
      <c r="H178" s="10" t="s">
        <v>2493</v>
      </c>
      <c r="M178" s="15"/>
    </row>
    <row r="179" spans="1:13" ht="15" customHeight="1">
      <c r="A179" s="11"/>
      <c r="B179" s="10" t="s">
        <v>2494</v>
      </c>
      <c r="C179" s="12" t="s">
        <v>2495</v>
      </c>
      <c r="D179" s="10" t="s">
        <v>2496</v>
      </c>
      <c r="F179" s="1115" t="s">
        <v>2483</v>
      </c>
      <c r="G179" s="1115"/>
      <c r="H179" s="14" t="s">
        <v>2497</v>
      </c>
      <c r="M179" s="15"/>
    </row>
    <row r="180" spans="1:13" ht="15" customHeight="1">
      <c r="A180" s="11"/>
      <c r="B180" s="426" t="s">
        <v>1636</v>
      </c>
      <c r="C180" s="427" t="s">
        <v>1637</v>
      </c>
      <c r="D180" s="427" t="s">
        <v>1638</v>
      </c>
      <c r="E180" s="427" t="s">
        <v>1639</v>
      </c>
      <c r="F180" s="427" t="s">
        <v>1640</v>
      </c>
      <c r="G180" s="427" t="s">
        <v>1641</v>
      </c>
      <c r="H180" s="427" t="s">
        <v>2498</v>
      </c>
      <c r="I180" s="427" t="s">
        <v>1643</v>
      </c>
      <c r="J180" s="427" t="s">
        <v>1644</v>
      </c>
      <c r="K180" s="428" t="s">
        <v>2311</v>
      </c>
      <c r="M180" s="15"/>
    </row>
    <row r="181" spans="1:13" ht="15" customHeight="1">
      <c r="A181" s="11"/>
      <c r="B181" s="141" t="s">
        <v>1528</v>
      </c>
      <c r="C181" s="142" t="s">
        <v>896</v>
      </c>
      <c r="D181" s="147">
        <f>ROUND(2500/K181,2)</f>
        <v>5.64</v>
      </c>
      <c r="E181" s="143">
        <f>F177</f>
        <v>13.02</v>
      </c>
      <c r="F181" s="142">
        <v>1</v>
      </c>
      <c r="G181" s="142">
        <v>0.9</v>
      </c>
      <c r="H181" s="142">
        <f>ROUNDDOWN(60*D181*F181*G181/E181,2)</f>
        <v>23.39</v>
      </c>
      <c r="I181" s="846">
        <f>ROUND(((30/450)*(5/(8000/K181))),3)</f>
        <v>1.7999999999999999E-2</v>
      </c>
      <c r="J181" s="847">
        <f>ROUND((13*2)/(450*D181),3)</f>
        <v>0.01</v>
      </c>
      <c r="K181" s="144">
        <v>443</v>
      </c>
      <c r="M181" s="15"/>
    </row>
    <row r="182" spans="1:13" ht="15" customHeight="1">
      <c r="A182" s="11"/>
      <c r="B182" s="145"/>
      <c r="C182" s="146" t="s">
        <v>1646</v>
      </c>
      <c r="D182" s="147">
        <f>ROUND(2500/K182,2)</f>
        <v>3.96</v>
      </c>
      <c r="E182" s="147">
        <f>F177</f>
        <v>13.02</v>
      </c>
      <c r="F182" s="146">
        <v>1</v>
      </c>
      <c r="G182" s="146">
        <v>0.9</v>
      </c>
      <c r="H182" s="142">
        <f t="shared" ref="H182:H201" si="0">ROUNDDOWN(60*D182*F182*G182/E182,2)</f>
        <v>16.420000000000002</v>
      </c>
      <c r="I182" s="846">
        <f t="shared" ref="I182:I192" si="1">ROUND(((30/450)*(5/(8000/K182))),3)</f>
        <v>2.5999999999999999E-2</v>
      </c>
      <c r="J182" s="847">
        <f t="shared" ref="J182:J192" si="2">ROUND((13*2)/(450*D182),3)</f>
        <v>1.4999999999999999E-2</v>
      </c>
      <c r="K182" s="149">
        <v>632</v>
      </c>
      <c r="M182" s="15"/>
    </row>
    <row r="183" spans="1:13" ht="15" customHeight="1">
      <c r="A183" s="11"/>
      <c r="B183" s="145"/>
      <c r="C183" s="146" t="s">
        <v>0</v>
      </c>
      <c r="D183" s="147">
        <f>ROUND(2500/K183,2)</f>
        <v>2.25</v>
      </c>
      <c r="E183" s="147">
        <f>E182</f>
        <v>13.02</v>
      </c>
      <c r="F183" s="146">
        <v>1</v>
      </c>
      <c r="G183" s="146">
        <v>0.9</v>
      </c>
      <c r="H183" s="142">
        <f t="shared" si="0"/>
        <v>9.33</v>
      </c>
      <c r="I183" s="846">
        <f t="shared" si="1"/>
        <v>4.5999999999999999E-2</v>
      </c>
      <c r="J183" s="847">
        <f t="shared" si="2"/>
        <v>2.5999999999999999E-2</v>
      </c>
      <c r="K183" s="149">
        <v>1112</v>
      </c>
      <c r="M183" s="15"/>
    </row>
    <row r="184" spans="1:13" ht="15" customHeight="1">
      <c r="A184" s="11"/>
      <c r="B184" s="145"/>
      <c r="C184" s="146" t="s">
        <v>1</v>
      </c>
      <c r="D184" s="147">
        <f>ROUND(2500/K184,2)</f>
        <v>1.45</v>
      </c>
      <c r="E184" s="147">
        <f t="shared" ref="E184:E200" si="3">E183</f>
        <v>13.02</v>
      </c>
      <c r="F184" s="146">
        <v>1</v>
      </c>
      <c r="G184" s="146">
        <v>0.9</v>
      </c>
      <c r="H184" s="142">
        <f t="shared" si="0"/>
        <v>6.01</v>
      </c>
      <c r="I184" s="846">
        <f t="shared" si="1"/>
        <v>7.1999999999999995E-2</v>
      </c>
      <c r="J184" s="847">
        <f t="shared" si="2"/>
        <v>0.04</v>
      </c>
      <c r="K184" s="149">
        <v>1729</v>
      </c>
      <c r="M184" s="15"/>
    </row>
    <row r="185" spans="1:13" ht="15" customHeight="1">
      <c r="A185" s="11"/>
      <c r="B185" s="145" t="s">
        <v>12</v>
      </c>
      <c r="C185" s="146" t="s">
        <v>1662</v>
      </c>
      <c r="D185" s="147">
        <f>ROUND(2500/K185,2)</f>
        <v>6.11</v>
      </c>
      <c r="E185" s="147">
        <f t="shared" si="3"/>
        <v>13.02</v>
      </c>
      <c r="F185" s="146">
        <v>1</v>
      </c>
      <c r="G185" s="146">
        <v>0.9</v>
      </c>
      <c r="H185" s="142">
        <f t="shared" si="0"/>
        <v>25.34</v>
      </c>
      <c r="I185" s="846">
        <f t="shared" si="1"/>
        <v>1.7000000000000001E-2</v>
      </c>
      <c r="J185" s="847">
        <f t="shared" si="2"/>
        <v>8.9999999999999993E-3</v>
      </c>
      <c r="K185" s="149">
        <v>409</v>
      </c>
      <c r="M185" s="15"/>
    </row>
    <row r="186" spans="1:13" ht="15" customHeight="1">
      <c r="A186" s="11"/>
      <c r="B186" s="145"/>
      <c r="C186" s="146" t="s">
        <v>1663</v>
      </c>
      <c r="D186" s="147">
        <f t="shared" ref="D186:D194" si="4">ROUND(2500/K186,2)</f>
        <v>4.5999999999999996</v>
      </c>
      <c r="E186" s="147">
        <f t="shared" si="3"/>
        <v>13.02</v>
      </c>
      <c r="F186" s="146">
        <v>1</v>
      </c>
      <c r="G186" s="146">
        <v>0.9</v>
      </c>
      <c r="H186" s="142">
        <f t="shared" si="0"/>
        <v>19.07</v>
      </c>
      <c r="I186" s="846">
        <f t="shared" si="1"/>
        <v>2.3E-2</v>
      </c>
      <c r="J186" s="847">
        <f t="shared" si="2"/>
        <v>1.2999999999999999E-2</v>
      </c>
      <c r="K186" s="149">
        <v>544</v>
      </c>
      <c r="M186" s="15"/>
    </row>
    <row r="187" spans="1:13" ht="15" customHeight="1">
      <c r="A187" s="11"/>
      <c r="B187" s="145"/>
      <c r="C187" s="146" t="s">
        <v>1664</v>
      </c>
      <c r="D187" s="147">
        <f t="shared" si="4"/>
        <v>3.98</v>
      </c>
      <c r="E187" s="147">
        <f t="shared" si="3"/>
        <v>13.02</v>
      </c>
      <c r="F187" s="146">
        <v>1</v>
      </c>
      <c r="G187" s="146">
        <v>0.9</v>
      </c>
      <c r="H187" s="142">
        <f t="shared" si="0"/>
        <v>16.5</v>
      </c>
      <c r="I187" s="846">
        <f t="shared" si="1"/>
        <v>2.5999999999999999E-2</v>
      </c>
      <c r="J187" s="847">
        <f t="shared" si="2"/>
        <v>1.4999999999999999E-2</v>
      </c>
      <c r="K187" s="149">
        <v>628</v>
      </c>
      <c r="M187" s="15"/>
    </row>
    <row r="188" spans="1:13" ht="15" customHeight="1">
      <c r="A188" s="11"/>
      <c r="B188" s="145"/>
      <c r="C188" s="146" t="s">
        <v>1665</v>
      </c>
      <c r="D188" s="147">
        <f t="shared" si="4"/>
        <v>3.35</v>
      </c>
      <c r="E188" s="147">
        <f t="shared" si="3"/>
        <v>13.02</v>
      </c>
      <c r="F188" s="146">
        <v>1</v>
      </c>
      <c r="G188" s="146">
        <v>0.9</v>
      </c>
      <c r="H188" s="142">
        <f t="shared" si="0"/>
        <v>13.89</v>
      </c>
      <c r="I188" s="846">
        <f t="shared" si="1"/>
        <v>3.1E-2</v>
      </c>
      <c r="J188" s="847">
        <f t="shared" si="2"/>
        <v>1.7000000000000001E-2</v>
      </c>
      <c r="K188" s="149">
        <v>746</v>
      </c>
      <c r="M188" s="15"/>
    </row>
    <row r="189" spans="1:13" ht="15" customHeight="1">
      <c r="A189" s="11"/>
      <c r="B189" s="145"/>
      <c r="C189" s="146" t="s">
        <v>1666</v>
      </c>
      <c r="D189" s="147">
        <f t="shared" si="4"/>
        <v>2.59</v>
      </c>
      <c r="E189" s="147">
        <f t="shared" si="3"/>
        <v>13.02</v>
      </c>
      <c r="F189" s="146">
        <v>1</v>
      </c>
      <c r="G189" s="146">
        <v>0.9</v>
      </c>
      <c r="H189" s="142">
        <f t="shared" si="0"/>
        <v>10.74</v>
      </c>
      <c r="I189" s="846">
        <f t="shared" si="1"/>
        <v>0.04</v>
      </c>
      <c r="J189" s="847">
        <f t="shared" si="2"/>
        <v>2.1999999999999999E-2</v>
      </c>
      <c r="K189" s="149">
        <v>964</v>
      </c>
      <c r="M189" s="15"/>
    </row>
    <row r="190" spans="1:13" ht="15" customHeight="1">
      <c r="A190" s="11"/>
      <c r="B190" s="145"/>
      <c r="C190" s="146" t="s">
        <v>1772</v>
      </c>
      <c r="D190" s="147">
        <f t="shared" si="4"/>
        <v>1.72</v>
      </c>
      <c r="E190" s="147">
        <f t="shared" si="3"/>
        <v>13.02</v>
      </c>
      <c r="F190" s="146">
        <v>1</v>
      </c>
      <c r="G190" s="146">
        <v>0.9</v>
      </c>
      <c r="H190" s="142">
        <f t="shared" si="0"/>
        <v>7.13</v>
      </c>
      <c r="I190" s="846">
        <f t="shared" si="1"/>
        <v>0.06</v>
      </c>
      <c r="J190" s="847">
        <f t="shared" si="2"/>
        <v>3.4000000000000002E-2</v>
      </c>
      <c r="K190" s="149">
        <v>1450</v>
      </c>
      <c r="M190" s="15"/>
    </row>
    <row r="191" spans="1:13" ht="15" customHeight="1">
      <c r="A191" s="11"/>
      <c r="B191" s="145"/>
      <c r="C191" s="146" t="s">
        <v>1788</v>
      </c>
      <c r="D191" s="147">
        <f t="shared" si="4"/>
        <v>1.35</v>
      </c>
      <c r="E191" s="147">
        <f t="shared" si="3"/>
        <v>13.02</v>
      </c>
      <c r="F191" s="146">
        <v>1</v>
      </c>
      <c r="G191" s="146">
        <v>0.9</v>
      </c>
      <c r="H191" s="142">
        <f t="shared" si="0"/>
        <v>5.59</v>
      </c>
      <c r="I191" s="846">
        <f t="shared" si="1"/>
        <v>7.6999999999999999E-2</v>
      </c>
      <c r="J191" s="847">
        <f t="shared" si="2"/>
        <v>4.2999999999999997E-2</v>
      </c>
      <c r="K191" s="149">
        <v>1850</v>
      </c>
      <c r="M191" s="15"/>
    </row>
    <row r="192" spans="1:13" ht="15" customHeight="1">
      <c r="A192" s="11"/>
      <c r="B192" s="145"/>
      <c r="C192" s="146" t="s">
        <v>2511</v>
      </c>
      <c r="D192" s="147">
        <f t="shared" si="4"/>
        <v>1.04</v>
      </c>
      <c r="E192" s="147">
        <f t="shared" si="3"/>
        <v>13.02</v>
      </c>
      <c r="F192" s="146">
        <v>1</v>
      </c>
      <c r="G192" s="146">
        <v>0.9</v>
      </c>
      <c r="H192" s="142">
        <f t="shared" si="0"/>
        <v>4.3099999999999996</v>
      </c>
      <c r="I192" s="846">
        <f t="shared" si="1"/>
        <v>0.1</v>
      </c>
      <c r="J192" s="847">
        <f t="shared" si="2"/>
        <v>5.6000000000000001E-2</v>
      </c>
      <c r="K192" s="149">
        <v>2400</v>
      </c>
      <c r="M192" s="15"/>
    </row>
    <row r="193" spans="1:13" ht="15" customHeight="1">
      <c r="A193" s="11"/>
      <c r="B193" s="145" t="s">
        <v>3</v>
      </c>
      <c r="C193" s="146" t="s">
        <v>1769</v>
      </c>
      <c r="D193" s="147">
        <v>0.54</v>
      </c>
      <c r="E193" s="147">
        <f t="shared" si="3"/>
        <v>13.02</v>
      </c>
      <c r="F193" s="146">
        <v>1</v>
      </c>
      <c r="G193" s="146">
        <v>0.9</v>
      </c>
      <c r="H193" s="142">
        <f t="shared" si="0"/>
        <v>2.23</v>
      </c>
      <c r="I193" s="148"/>
      <c r="J193" s="146">
        <f xml:space="preserve"> ROUNDDOWN(M176/450*I193/H193,3)</f>
        <v>0</v>
      </c>
      <c r="K193" s="149"/>
      <c r="M193" s="15"/>
    </row>
    <row r="194" spans="1:13" ht="15" customHeight="1">
      <c r="A194" s="11"/>
      <c r="B194" s="145" t="s">
        <v>2510</v>
      </c>
      <c r="C194" s="146" t="s">
        <v>2190</v>
      </c>
      <c r="D194" s="147">
        <f t="shared" si="4"/>
        <v>0.63</v>
      </c>
      <c r="E194" s="147">
        <f t="shared" si="3"/>
        <v>13.02</v>
      </c>
      <c r="F194" s="146">
        <v>1</v>
      </c>
      <c r="G194" s="146">
        <v>0.9</v>
      </c>
      <c r="H194" s="142">
        <f t="shared" si="0"/>
        <v>2.61</v>
      </c>
      <c r="I194" s="846">
        <f>ROUND(((30/450)*(5/(8000/K194))),3)</f>
        <v>0.16500000000000001</v>
      </c>
      <c r="J194" s="847">
        <f>ROUND((13*2)/(450*D194),3)</f>
        <v>9.1999999999999998E-2</v>
      </c>
      <c r="K194" s="149">
        <v>3950</v>
      </c>
      <c r="M194" s="15"/>
    </row>
    <row r="195" spans="1:13" ht="15" customHeight="1">
      <c r="A195" s="11"/>
      <c r="B195" s="151" t="s">
        <v>452</v>
      </c>
      <c r="C195" s="152" t="s">
        <v>895</v>
      </c>
      <c r="D195" s="146">
        <v>30</v>
      </c>
      <c r="E195" s="147">
        <f t="shared" si="3"/>
        <v>13.02</v>
      </c>
      <c r="F195" s="146">
        <v>1</v>
      </c>
      <c r="G195" s="146">
        <v>0.9</v>
      </c>
      <c r="H195" s="142">
        <f t="shared" si="0"/>
        <v>124.42</v>
      </c>
      <c r="I195" s="148">
        <v>2</v>
      </c>
      <c r="J195" s="146">
        <f t="shared" ref="J195:J200" si="5" xml:space="preserve"> ROUNDDOWN(M177/450*I195/H195,3)</f>
        <v>0</v>
      </c>
      <c r="K195" s="149"/>
      <c r="M195" s="15"/>
    </row>
    <row r="196" spans="1:13" ht="15" customHeight="1">
      <c r="A196" s="11"/>
      <c r="B196" s="151"/>
      <c r="C196" s="152" t="s">
        <v>1378</v>
      </c>
      <c r="D196" s="148">
        <v>22</v>
      </c>
      <c r="E196" s="147">
        <f t="shared" si="3"/>
        <v>13.02</v>
      </c>
      <c r="F196" s="146">
        <v>1</v>
      </c>
      <c r="G196" s="146">
        <v>0.9</v>
      </c>
      <c r="H196" s="142">
        <f t="shared" si="0"/>
        <v>91.24</v>
      </c>
      <c r="I196" s="148">
        <v>2</v>
      </c>
      <c r="J196" s="153">
        <f t="shared" si="5"/>
        <v>0</v>
      </c>
      <c r="K196" s="149"/>
      <c r="M196" s="15"/>
    </row>
    <row r="197" spans="1:13" ht="15" customHeight="1">
      <c r="A197" s="11"/>
      <c r="B197" s="145"/>
      <c r="C197" s="152" t="s">
        <v>1377</v>
      </c>
      <c r="D197" s="148">
        <v>17</v>
      </c>
      <c r="E197" s="147">
        <f t="shared" si="3"/>
        <v>13.02</v>
      </c>
      <c r="F197" s="146">
        <v>1</v>
      </c>
      <c r="G197" s="146">
        <v>0.9</v>
      </c>
      <c r="H197" s="142">
        <f t="shared" si="0"/>
        <v>70.5</v>
      </c>
      <c r="I197" s="148">
        <v>2</v>
      </c>
      <c r="J197" s="146">
        <f t="shared" si="5"/>
        <v>0</v>
      </c>
      <c r="K197" s="149"/>
      <c r="M197" s="15"/>
    </row>
    <row r="198" spans="1:13" ht="15" customHeight="1">
      <c r="A198" s="11"/>
      <c r="B198" s="145"/>
      <c r="C198" s="152" t="s">
        <v>1376</v>
      </c>
      <c r="D198" s="148">
        <v>14</v>
      </c>
      <c r="E198" s="147">
        <f t="shared" si="3"/>
        <v>13.02</v>
      </c>
      <c r="F198" s="146">
        <v>1</v>
      </c>
      <c r="G198" s="146">
        <v>0.9</v>
      </c>
      <c r="H198" s="142">
        <f t="shared" si="0"/>
        <v>58.06</v>
      </c>
      <c r="I198" s="148">
        <v>2</v>
      </c>
      <c r="J198" s="146">
        <f t="shared" si="5"/>
        <v>0</v>
      </c>
      <c r="K198" s="149"/>
      <c r="M198" s="15"/>
    </row>
    <row r="199" spans="1:13" ht="15" customHeight="1">
      <c r="A199" s="11"/>
      <c r="B199" s="145"/>
      <c r="C199" s="152" t="s">
        <v>1375</v>
      </c>
      <c r="D199" s="148">
        <v>9</v>
      </c>
      <c r="E199" s="147">
        <f t="shared" si="3"/>
        <v>13.02</v>
      </c>
      <c r="F199" s="146">
        <v>1</v>
      </c>
      <c r="G199" s="146">
        <v>0.9</v>
      </c>
      <c r="H199" s="142">
        <f t="shared" si="0"/>
        <v>37.32</v>
      </c>
      <c r="I199" s="148">
        <v>2</v>
      </c>
      <c r="J199" s="146">
        <f t="shared" si="5"/>
        <v>0</v>
      </c>
      <c r="K199" s="149"/>
      <c r="M199" s="15"/>
    </row>
    <row r="200" spans="1:13" ht="15" customHeight="1">
      <c r="A200" s="11"/>
      <c r="B200" s="145"/>
      <c r="C200" s="152" t="s">
        <v>1374</v>
      </c>
      <c r="D200" s="148">
        <v>7</v>
      </c>
      <c r="E200" s="147">
        <f t="shared" si="3"/>
        <v>13.02</v>
      </c>
      <c r="F200" s="146">
        <v>1</v>
      </c>
      <c r="G200" s="146">
        <v>0.9</v>
      </c>
      <c r="H200" s="142">
        <f t="shared" si="0"/>
        <v>29.03</v>
      </c>
      <c r="I200" s="148">
        <v>2</v>
      </c>
      <c r="J200" s="146">
        <f t="shared" si="5"/>
        <v>0</v>
      </c>
      <c r="K200" s="149"/>
      <c r="M200" s="15"/>
    </row>
    <row r="201" spans="1:13" ht="15" customHeight="1">
      <c r="A201" s="11"/>
      <c r="B201" s="154"/>
      <c r="C201" s="155" t="s">
        <v>1373</v>
      </c>
      <c r="D201" s="157">
        <v>6</v>
      </c>
      <c r="E201" s="159">
        <f>E200</f>
        <v>13.02</v>
      </c>
      <c r="F201" s="158">
        <v>1</v>
      </c>
      <c r="G201" s="158">
        <v>0.9</v>
      </c>
      <c r="H201" s="142">
        <f t="shared" si="0"/>
        <v>24.88</v>
      </c>
      <c r="I201" s="157">
        <v>2</v>
      </c>
      <c r="J201" s="160">
        <f xml:space="preserve"> ROUNDDOWN(M186/450*I201/H201,3)</f>
        <v>0</v>
      </c>
      <c r="K201" s="161"/>
      <c r="M201" s="15"/>
    </row>
    <row r="202" spans="1:13" ht="15" customHeight="1">
      <c r="A202" s="11"/>
      <c r="M202" s="15"/>
    </row>
    <row r="203" spans="1:13" ht="15" customHeight="1">
      <c r="A203" s="11"/>
      <c r="B203" s="12" t="s">
        <v>1667</v>
      </c>
      <c r="C203" s="12" t="s">
        <v>1410</v>
      </c>
      <c r="D203" s="10">
        <f>운반거리!F17</f>
        <v>50</v>
      </c>
      <c r="E203" s="10" t="s">
        <v>1411</v>
      </c>
      <c r="M203" s="15"/>
    </row>
    <row r="204" spans="1:13" ht="15" customHeight="1">
      <c r="A204" s="11"/>
      <c r="B204" s="14" t="s">
        <v>1668</v>
      </c>
      <c r="C204" s="16"/>
      <c r="D204" s="10">
        <f>ROUND(2500*450/(120*D203+2500*2),0)</f>
        <v>102</v>
      </c>
      <c r="E204" s="12" t="s">
        <v>1669</v>
      </c>
      <c r="G204" s="17" t="s">
        <v>1670</v>
      </c>
      <c r="H204" s="12"/>
      <c r="I204" s="17"/>
      <c r="J204" s="12"/>
      <c r="K204" s="17"/>
      <c r="L204" s="12"/>
      <c r="M204" s="61"/>
    </row>
    <row r="205" spans="1:13" ht="15" customHeight="1">
      <c r="A205" s="11"/>
      <c r="B205" s="32" t="s">
        <v>1636</v>
      </c>
      <c r="C205" s="33" t="s">
        <v>1637</v>
      </c>
      <c r="D205" s="33" t="s">
        <v>1671</v>
      </c>
      <c r="E205" s="33" t="s">
        <v>1132</v>
      </c>
      <c r="F205" s="33" t="s">
        <v>1672</v>
      </c>
      <c r="G205" s="33" t="s">
        <v>1673</v>
      </c>
      <c r="H205" s="33" t="s">
        <v>1642</v>
      </c>
      <c r="I205" s="33" t="s">
        <v>1674</v>
      </c>
      <c r="J205" s="33" t="s">
        <v>1675</v>
      </c>
      <c r="K205" s="34" t="s">
        <v>1676</v>
      </c>
      <c r="M205" s="15"/>
    </row>
    <row r="206" spans="1:13" ht="15" customHeight="1">
      <c r="A206" s="11"/>
      <c r="B206" s="162" t="s">
        <v>1645</v>
      </c>
      <c r="C206" s="163" t="s">
        <v>0</v>
      </c>
      <c r="D206" s="163">
        <v>2500</v>
      </c>
      <c r="E206" s="163">
        <v>2</v>
      </c>
      <c r="F206" s="163">
        <f>ROUND(D206*450/(120*D203+D206*E206),0)</f>
        <v>102</v>
      </c>
      <c r="G206" s="164">
        <v>1</v>
      </c>
      <c r="H206" s="163">
        <f>F206</f>
        <v>102</v>
      </c>
      <c r="I206" s="163">
        <v>6</v>
      </c>
      <c r="J206" s="165">
        <f>ROUND(I206/H206,3)</f>
        <v>5.8999999999999997E-2</v>
      </c>
      <c r="K206" s="166"/>
      <c r="M206" s="15"/>
    </row>
    <row r="207" spans="1:13" ht="15" customHeight="1">
      <c r="A207" s="11"/>
      <c r="B207" s="145"/>
      <c r="C207" s="146" t="s">
        <v>1</v>
      </c>
      <c r="D207" s="146">
        <v>2500</v>
      </c>
      <c r="E207" s="146">
        <v>2</v>
      </c>
      <c r="F207" s="146">
        <f>ROUND(D207*450/(120*D$203+D207*E207),0)</f>
        <v>102</v>
      </c>
      <c r="G207" s="153">
        <v>1</v>
      </c>
      <c r="H207" s="146">
        <f>F207</f>
        <v>102</v>
      </c>
      <c r="I207" s="146">
        <v>7</v>
      </c>
      <c r="J207" s="146">
        <f>ROUND(I207/H207,3)</f>
        <v>6.9000000000000006E-2</v>
      </c>
      <c r="K207" s="167"/>
      <c r="M207" s="15"/>
    </row>
    <row r="208" spans="1:13" ht="15" customHeight="1">
      <c r="A208" s="11"/>
      <c r="B208" s="145" t="s">
        <v>1661</v>
      </c>
      <c r="C208" s="146" t="s">
        <v>2</v>
      </c>
      <c r="D208" s="146">
        <v>2500</v>
      </c>
      <c r="E208" s="146">
        <v>2</v>
      </c>
      <c r="F208" s="146">
        <f>ROUND(D208*450/(120*D$203+D208*E208),0)</f>
        <v>102</v>
      </c>
      <c r="G208" s="153">
        <v>1</v>
      </c>
      <c r="H208" s="146">
        <f>F208</f>
        <v>102</v>
      </c>
      <c r="I208" s="146">
        <v>8</v>
      </c>
      <c r="J208" s="146">
        <f>ROUND(I208/H208,3)</f>
        <v>7.8E-2</v>
      </c>
      <c r="K208" s="167"/>
      <c r="M208" s="15"/>
    </row>
    <row r="209" spans="1:13" ht="15" customHeight="1">
      <c r="A209" s="11"/>
      <c r="B209" s="168" t="s">
        <v>3</v>
      </c>
      <c r="C209" s="158" t="s">
        <v>4</v>
      </c>
      <c r="D209" s="158">
        <v>2500</v>
      </c>
      <c r="E209" s="158">
        <v>2</v>
      </c>
      <c r="F209" s="158">
        <f>ROUND(D209*450/(120*D$203+D209*E209),0)</f>
        <v>102</v>
      </c>
      <c r="G209" s="160">
        <v>1</v>
      </c>
      <c r="H209" s="158">
        <f>F209</f>
        <v>102</v>
      </c>
      <c r="I209" s="158">
        <v>7</v>
      </c>
      <c r="J209" s="158">
        <f>ROUND(I209/H209,3)</f>
        <v>6.9000000000000006E-2</v>
      </c>
      <c r="K209" s="169"/>
      <c r="M209" s="15"/>
    </row>
    <row r="210" spans="1:13" ht="15" customHeight="1">
      <c r="A210" s="20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2"/>
    </row>
    <row r="211" spans="1:13" ht="15" customHeight="1"/>
    <row r="212" spans="1:13" ht="15" customHeight="1"/>
    <row r="213" spans="1:13" ht="15" customHeight="1"/>
    <row r="214" spans="1:13" ht="15" customHeight="1"/>
    <row r="215" spans="1:13" ht="15" customHeight="1"/>
    <row r="216" spans="1:13" ht="15" customHeight="1"/>
    <row r="217" spans="1:13" ht="15" customHeight="1"/>
    <row r="218" spans="1:13" ht="15" customHeight="1"/>
    <row r="219" spans="1:13" ht="15" customHeight="1"/>
    <row r="220" spans="1:13" ht="15" customHeight="1"/>
    <row r="221" spans="1:13" ht="15" customHeight="1"/>
    <row r="222" spans="1:13" ht="15" customHeight="1"/>
    <row r="223" spans="1:13" ht="15" customHeight="1"/>
    <row r="224" spans="1:13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  <row r="258" ht="15" customHeight="1"/>
  </sheetData>
  <customSheetViews>
    <customSheetView guid="{D73D5080-A04E-11D4-B8A5-00609727EAB1}" showPageBreaks="1" printArea="1" showRuler="0" topLeftCell="C264">
      <selection activeCell="I273" sqref="I273"/>
      <pageMargins left="0.51" right="0.43" top="1" bottom="1" header="0.5" footer="0.5"/>
      <pageSetup paperSize="9" orientation="landscape" horizontalDpi="300" verticalDpi="300" r:id="rId1"/>
      <headerFooter alignWithMargins="0"/>
    </customSheetView>
    <customSheetView guid="{2D877E0D-A04C-11D4-947E-00001C044B2C}" showRuler="0" topLeftCell="B114">
      <selection activeCell="D118" sqref="D118"/>
      <pageMargins left="0.51" right="0.43" top="1" bottom="1" header="0.5" footer="0.5"/>
      <pageSetup paperSize="9" orientation="landscape" horizontalDpi="300" verticalDpi="300" r:id="rId2"/>
      <headerFooter alignWithMargins="0"/>
    </customSheetView>
    <customSheetView guid="{6F21C780-A002-11D4-A1D9-00104BD549C6}" showRuler="0" topLeftCell="B114">
      <selection activeCell="D118" sqref="D118"/>
      <pageMargins left="0.51" right="0.43" top="1" bottom="1" header="0.5" footer="0.5"/>
      <pageSetup paperSize="9" orientation="landscape" horizontalDpi="300" verticalDpi="300" r:id="rId3"/>
      <headerFooter alignWithMargins="0"/>
    </customSheetView>
  </customSheetViews>
  <mergeCells count="33">
    <mergeCell ref="F179:G179"/>
    <mergeCell ref="C12:E12"/>
    <mergeCell ref="C13:F13"/>
    <mergeCell ref="B18:E18"/>
    <mergeCell ref="B79:C79"/>
    <mergeCell ref="C29:F29"/>
    <mergeCell ref="C25:E25"/>
    <mergeCell ref="B34:E34"/>
    <mergeCell ref="C14:F14"/>
    <mergeCell ref="C64:E64"/>
    <mergeCell ref="B80:C80"/>
    <mergeCell ref="B81:E81"/>
    <mergeCell ref="B82:E82"/>
    <mergeCell ref="C66:F66"/>
    <mergeCell ref="C160:E160"/>
    <mergeCell ref="C155:D155"/>
    <mergeCell ref="H83:J83"/>
    <mergeCell ref="B90:E90"/>
    <mergeCell ref="B91:E91"/>
    <mergeCell ref="B92:E92"/>
    <mergeCell ref="B84:E84"/>
    <mergeCell ref="H132:J132"/>
    <mergeCell ref="H133:J133"/>
    <mergeCell ref="B116:E116"/>
    <mergeCell ref="B117:E117"/>
    <mergeCell ref="B118:E118"/>
    <mergeCell ref="B131:C131"/>
    <mergeCell ref="C159:E159"/>
    <mergeCell ref="C157:E157"/>
    <mergeCell ref="C134:E134"/>
    <mergeCell ref="C138:D138"/>
    <mergeCell ref="C156:D156"/>
    <mergeCell ref="D139:F139"/>
  </mergeCells>
  <phoneticPr fontId="3" type="noConversion"/>
  <printOptions horizontalCentered="1"/>
  <pageMargins left="0.47244094488188981" right="0.47244094488188981" top="0.78740157480314965" bottom="0.39370078740157483" header="0" footer="0"/>
  <pageSetup paperSize="9" scale="95" orientation="landscape" r:id="rId4"/>
  <headerFooter alignWithMargins="0"/>
  <drawing r:id="rId5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17"/>
  <dimension ref="A1:K47"/>
  <sheetViews>
    <sheetView workbookViewId="0">
      <selection activeCell="D12" sqref="D12"/>
    </sheetView>
  </sheetViews>
  <sheetFormatPr defaultColWidth="8.88671875" defaultRowHeight="20.100000000000001" customHeight="1"/>
  <cols>
    <col min="1" max="1" width="23" style="237" customWidth="1"/>
    <col min="2" max="2" width="9.44140625" style="237" customWidth="1"/>
    <col min="3" max="3" width="9.33203125" style="295" customWidth="1"/>
    <col min="4" max="6" width="9" style="295" bestFit="1" customWidth="1"/>
    <col min="7" max="7" width="4.33203125" style="295" customWidth="1"/>
    <col min="8" max="9" width="11.109375" style="295" customWidth="1"/>
    <col min="10" max="10" width="10.33203125" style="295" customWidth="1"/>
    <col min="11" max="11" width="11.44140625" style="295" customWidth="1"/>
    <col min="12" max="16384" width="8.88671875" style="237"/>
  </cols>
  <sheetData>
    <row r="1" spans="1:11" ht="20.100000000000001" customHeight="1">
      <c r="A1" s="233" t="s">
        <v>195</v>
      </c>
      <c r="B1" s="234"/>
      <c r="C1" s="236"/>
      <c r="D1" s="236"/>
      <c r="E1" s="236"/>
      <c r="F1" s="236"/>
      <c r="G1" s="236"/>
      <c r="H1" s="236"/>
      <c r="I1" s="236"/>
      <c r="J1" s="236"/>
      <c r="K1" s="236"/>
    </row>
    <row r="2" spans="1:11" ht="20.100000000000001" customHeight="1">
      <c r="A2" s="1104" t="s">
        <v>716</v>
      </c>
      <c r="B2" s="1104" t="s">
        <v>717</v>
      </c>
      <c r="C2" s="1116" t="s">
        <v>199</v>
      </c>
      <c r="D2" s="1117"/>
      <c r="E2" s="1118"/>
      <c r="F2" s="1116" t="s">
        <v>718</v>
      </c>
      <c r="G2" s="1118"/>
      <c r="H2" s="1116" t="s">
        <v>1006</v>
      </c>
      <c r="I2" s="1117"/>
      <c r="J2" s="1117"/>
      <c r="K2" s="1118"/>
    </row>
    <row r="3" spans="1:11" ht="20.100000000000001" customHeight="1">
      <c r="A3" s="1104"/>
      <c r="B3" s="1104"/>
      <c r="C3" s="601" t="s">
        <v>1007</v>
      </c>
      <c r="D3" s="601" t="s">
        <v>1169</v>
      </c>
      <c r="E3" s="602" t="s">
        <v>689</v>
      </c>
      <c r="F3" s="602" t="s">
        <v>642</v>
      </c>
      <c r="G3" s="601" t="s">
        <v>1011</v>
      </c>
      <c r="H3" s="601" t="s">
        <v>1007</v>
      </c>
      <c r="I3" s="601" t="s">
        <v>1169</v>
      </c>
      <c r="J3" s="602" t="s">
        <v>689</v>
      </c>
      <c r="K3" s="601" t="s">
        <v>617</v>
      </c>
    </row>
    <row r="4" spans="1:11" ht="20.100000000000001" customHeight="1">
      <c r="A4" s="289" t="s">
        <v>719</v>
      </c>
      <c r="B4" s="286" t="s">
        <v>156</v>
      </c>
      <c r="C4" s="287">
        <f>중기일람!D6</f>
        <v>57077</v>
      </c>
      <c r="D4" s="287">
        <f>중기일람!E6</f>
        <v>44323</v>
      </c>
      <c r="E4" s="287">
        <f>중기일람!F6</f>
        <v>28546</v>
      </c>
      <c r="F4" s="288">
        <f>중기작업량!H13</f>
        <v>42.069406779661016</v>
      </c>
      <c r="G4" s="287" t="s">
        <v>1014</v>
      </c>
      <c r="H4" s="287">
        <f t="shared" ref="H4:H46" si="0">INT(C4/F4)</f>
        <v>1356</v>
      </c>
      <c r="I4" s="287">
        <f t="shared" ref="I4:I46" si="1">INT(D4/F4)</f>
        <v>1053</v>
      </c>
      <c r="J4" s="287">
        <f t="shared" ref="J4:J46" si="2">INT(E4/F4)</f>
        <v>678</v>
      </c>
      <c r="K4" s="287">
        <f t="shared" ref="K4:K46" si="3">J4+I4+H4</f>
        <v>3087</v>
      </c>
    </row>
    <row r="5" spans="1:11" ht="20.100000000000001" customHeight="1">
      <c r="A5" s="286" t="s">
        <v>559</v>
      </c>
      <c r="B5" s="286" t="s">
        <v>156</v>
      </c>
      <c r="C5" s="287">
        <f>중기일람!D6</f>
        <v>57077</v>
      </c>
      <c r="D5" s="287">
        <f>중기일람!E6</f>
        <v>44323</v>
      </c>
      <c r="E5" s="287">
        <f>중기일람!F6</f>
        <v>28546</v>
      </c>
      <c r="F5" s="290">
        <f>중기작업량!H19</f>
        <v>62.440677966101688</v>
      </c>
      <c r="G5" s="291" t="s">
        <v>1014</v>
      </c>
      <c r="H5" s="287">
        <f t="shared" si="0"/>
        <v>914</v>
      </c>
      <c r="I5" s="287">
        <f t="shared" si="1"/>
        <v>709</v>
      </c>
      <c r="J5" s="287">
        <f t="shared" si="2"/>
        <v>457</v>
      </c>
      <c r="K5" s="287">
        <f t="shared" si="3"/>
        <v>2080</v>
      </c>
    </row>
    <row r="6" spans="1:11" ht="20.100000000000001" customHeight="1">
      <c r="A6" s="286" t="s">
        <v>559</v>
      </c>
      <c r="B6" s="286" t="s">
        <v>720</v>
      </c>
      <c r="C6" s="287">
        <f>중기일람!D7</f>
        <v>57077</v>
      </c>
      <c r="D6" s="287">
        <f>중기일람!E7</f>
        <v>21629</v>
      </c>
      <c r="E6" s="287">
        <f>중기일람!F7</f>
        <v>21332</v>
      </c>
      <c r="F6" s="288">
        <f>중기작업량!H25</f>
        <v>47.52000000000001</v>
      </c>
      <c r="G6" s="291" t="s">
        <v>1014</v>
      </c>
      <c r="H6" s="287">
        <f t="shared" si="0"/>
        <v>1201</v>
      </c>
      <c r="I6" s="287">
        <f t="shared" si="1"/>
        <v>455</v>
      </c>
      <c r="J6" s="287">
        <f t="shared" si="2"/>
        <v>448</v>
      </c>
      <c r="K6" s="287">
        <f t="shared" si="3"/>
        <v>2104</v>
      </c>
    </row>
    <row r="7" spans="1:11" ht="20.100000000000001" customHeight="1">
      <c r="A7" s="286" t="s">
        <v>554</v>
      </c>
      <c r="B7" s="286" t="s">
        <v>156</v>
      </c>
      <c r="C7" s="287">
        <f>중기일람!D6</f>
        <v>57077</v>
      </c>
      <c r="D7" s="287">
        <f>중기일람!E6</f>
        <v>44323</v>
      </c>
      <c r="E7" s="287">
        <f>중기일람!F6</f>
        <v>28546</v>
      </c>
      <c r="F7" s="288">
        <f>중기작업량!H31</f>
        <v>81.172881355932205</v>
      </c>
      <c r="G7" s="291" t="s">
        <v>1014</v>
      </c>
      <c r="H7" s="287">
        <f t="shared" si="0"/>
        <v>703</v>
      </c>
      <c r="I7" s="287">
        <f t="shared" si="1"/>
        <v>546</v>
      </c>
      <c r="J7" s="287">
        <f t="shared" si="2"/>
        <v>351</v>
      </c>
      <c r="K7" s="287">
        <f t="shared" si="3"/>
        <v>1600</v>
      </c>
    </row>
    <row r="8" spans="1:11" ht="20.100000000000001" customHeight="1">
      <c r="A8" s="289" t="s">
        <v>555</v>
      </c>
      <c r="B8" s="286" t="s">
        <v>156</v>
      </c>
      <c r="C8" s="287">
        <f>중기일람!D6</f>
        <v>57077</v>
      </c>
      <c r="D8" s="287">
        <f>중기일람!E6</f>
        <v>44323</v>
      </c>
      <c r="E8" s="287">
        <f>중기일람!F6</f>
        <v>28546</v>
      </c>
      <c r="F8" s="288">
        <f>중기작업량!H37</f>
        <v>72.977542372881359</v>
      </c>
      <c r="G8" s="291" t="s">
        <v>1014</v>
      </c>
      <c r="H8" s="287">
        <f t="shared" si="0"/>
        <v>782</v>
      </c>
      <c r="I8" s="287">
        <f t="shared" si="1"/>
        <v>607</v>
      </c>
      <c r="J8" s="287">
        <f t="shared" si="2"/>
        <v>391</v>
      </c>
      <c r="K8" s="287">
        <f t="shared" si="3"/>
        <v>1780</v>
      </c>
    </row>
    <row r="9" spans="1:11" ht="20.100000000000001" customHeight="1">
      <c r="A9" s="289" t="s">
        <v>557</v>
      </c>
      <c r="B9" s="286" t="s">
        <v>156</v>
      </c>
      <c r="C9" s="287">
        <f>중기일람!D6</f>
        <v>57077</v>
      </c>
      <c r="D9" s="287">
        <f>중기일람!E6</f>
        <v>44323</v>
      </c>
      <c r="E9" s="287">
        <f>중기일람!F6</f>
        <v>28546</v>
      </c>
      <c r="F9" s="288">
        <f>중기작업량!H43</f>
        <v>43.703474576271184</v>
      </c>
      <c r="G9" s="291" t="s">
        <v>1014</v>
      </c>
      <c r="H9" s="287">
        <f t="shared" si="0"/>
        <v>1306</v>
      </c>
      <c r="I9" s="287">
        <f t="shared" si="1"/>
        <v>1014</v>
      </c>
      <c r="J9" s="287">
        <f t="shared" si="2"/>
        <v>653</v>
      </c>
      <c r="K9" s="287">
        <f t="shared" si="3"/>
        <v>2973</v>
      </c>
    </row>
    <row r="10" spans="1:11" ht="20.100000000000001" customHeight="1">
      <c r="A10" s="286" t="s">
        <v>554</v>
      </c>
      <c r="B10" s="286" t="s">
        <v>720</v>
      </c>
      <c r="C10" s="287">
        <f>중기일람!D7</f>
        <v>57077</v>
      </c>
      <c r="D10" s="287">
        <f>중기일람!E7</f>
        <v>21629</v>
      </c>
      <c r="E10" s="287">
        <f>중기일람!F7</f>
        <v>21332</v>
      </c>
      <c r="F10" s="288">
        <f>중기작업량!H49</f>
        <v>60.48</v>
      </c>
      <c r="G10" s="291" t="s">
        <v>1014</v>
      </c>
      <c r="H10" s="287">
        <f t="shared" si="0"/>
        <v>943</v>
      </c>
      <c r="I10" s="287">
        <f t="shared" si="1"/>
        <v>357</v>
      </c>
      <c r="J10" s="287">
        <f t="shared" si="2"/>
        <v>352</v>
      </c>
      <c r="K10" s="287">
        <f t="shared" si="3"/>
        <v>1652</v>
      </c>
    </row>
    <row r="11" spans="1:11" ht="20.100000000000001" customHeight="1">
      <c r="A11" s="289" t="s">
        <v>555</v>
      </c>
      <c r="B11" s="286" t="s">
        <v>720</v>
      </c>
      <c r="C11" s="287">
        <f>중기일람!D7</f>
        <v>57077</v>
      </c>
      <c r="D11" s="287">
        <f>중기일람!E7</f>
        <v>21629</v>
      </c>
      <c r="E11" s="287">
        <f>중기일람!F7</f>
        <v>21332</v>
      </c>
      <c r="F11" s="288">
        <f>중기작업량!H61</f>
        <v>42.839999999999996</v>
      </c>
      <c r="G11" s="291" t="s">
        <v>1014</v>
      </c>
      <c r="H11" s="287">
        <f t="shared" si="0"/>
        <v>1332</v>
      </c>
      <c r="I11" s="287">
        <f t="shared" si="1"/>
        <v>504</v>
      </c>
      <c r="J11" s="287">
        <f t="shared" si="2"/>
        <v>497</v>
      </c>
      <c r="K11" s="287">
        <f t="shared" si="3"/>
        <v>2333</v>
      </c>
    </row>
    <row r="12" spans="1:11" ht="20.100000000000001" customHeight="1">
      <c r="A12" s="286" t="s">
        <v>1282</v>
      </c>
      <c r="B12" s="289" t="s">
        <v>2296</v>
      </c>
      <c r="C12" s="287">
        <f>중기일람!D7</f>
        <v>57077</v>
      </c>
      <c r="D12" s="287">
        <f>중기일람!E9</f>
        <v>9246</v>
      </c>
      <c r="E12" s="287">
        <f>중기일람!F9</f>
        <v>12510</v>
      </c>
      <c r="F12" s="288">
        <f>중기작업량!H67</f>
        <v>40.319999999999993</v>
      </c>
      <c r="G12" s="291" t="s">
        <v>1014</v>
      </c>
      <c r="H12" s="287">
        <f t="shared" si="0"/>
        <v>1415</v>
      </c>
      <c r="I12" s="287">
        <f t="shared" si="1"/>
        <v>229</v>
      </c>
      <c r="J12" s="287">
        <f t="shared" si="2"/>
        <v>310</v>
      </c>
      <c r="K12" s="287">
        <f t="shared" si="3"/>
        <v>1954</v>
      </c>
    </row>
    <row r="13" spans="1:11" ht="20.100000000000001" customHeight="1">
      <c r="A13" s="286" t="s">
        <v>2297</v>
      </c>
      <c r="B13" s="289" t="s">
        <v>155</v>
      </c>
      <c r="C13" s="287">
        <f>중기일람!D7</f>
        <v>57077</v>
      </c>
      <c r="D13" s="287">
        <f>중기일람!E7</f>
        <v>21629</v>
      </c>
      <c r="E13" s="287">
        <f>중기일람!F7</f>
        <v>21332</v>
      </c>
      <c r="F13" s="288">
        <f>중기작업량!H73</f>
        <v>63.503999999999998</v>
      </c>
      <c r="G13" s="291" t="s">
        <v>1014</v>
      </c>
      <c r="H13" s="287">
        <f t="shared" si="0"/>
        <v>898</v>
      </c>
      <c r="I13" s="287">
        <f t="shared" si="1"/>
        <v>340</v>
      </c>
      <c r="J13" s="287">
        <f t="shared" si="2"/>
        <v>335</v>
      </c>
      <c r="K13" s="287">
        <f t="shared" si="3"/>
        <v>1573</v>
      </c>
    </row>
    <row r="14" spans="1:11" ht="20.100000000000001" customHeight="1">
      <c r="A14" s="286" t="s">
        <v>1387</v>
      </c>
      <c r="B14" s="289" t="s">
        <v>155</v>
      </c>
      <c r="C14" s="287">
        <f>중기일람!D7</f>
        <v>57077</v>
      </c>
      <c r="D14" s="287">
        <f>중기일람!E7</f>
        <v>21629</v>
      </c>
      <c r="E14" s="287">
        <f>중기일람!F7</f>
        <v>21332</v>
      </c>
      <c r="F14" s="288">
        <f>중기작업량!H67</f>
        <v>40.319999999999993</v>
      </c>
      <c r="G14" s="291" t="s">
        <v>1014</v>
      </c>
      <c r="H14" s="287">
        <f t="shared" si="0"/>
        <v>1415</v>
      </c>
      <c r="I14" s="287">
        <f t="shared" si="1"/>
        <v>536</v>
      </c>
      <c r="J14" s="287">
        <f t="shared" si="2"/>
        <v>529</v>
      </c>
      <c r="K14" s="287">
        <f t="shared" si="3"/>
        <v>2480</v>
      </c>
    </row>
    <row r="15" spans="1:11" ht="20.100000000000001" customHeight="1">
      <c r="A15" s="289" t="s">
        <v>1389</v>
      </c>
      <c r="B15" s="286" t="s">
        <v>156</v>
      </c>
      <c r="C15" s="287">
        <f>중기일람!D6</f>
        <v>57077</v>
      </c>
      <c r="D15" s="287">
        <f>중기일람!E6</f>
        <v>44323</v>
      </c>
      <c r="E15" s="287">
        <f>중기일람!F6</f>
        <v>28546</v>
      </c>
      <c r="F15" s="288">
        <f>중기작업량!H84</f>
        <v>73.055593220338992</v>
      </c>
      <c r="G15" s="291" t="s">
        <v>1014</v>
      </c>
      <c r="H15" s="287">
        <f t="shared" si="0"/>
        <v>781</v>
      </c>
      <c r="I15" s="287">
        <f t="shared" si="1"/>
        <v>606</v>
      </c>
      <c r="J15" s="287">
        <f t="shared" si="2"/>
        <v>390</v>
      </c>
      <c r="K15" s="287">
        <f t="shared" si="3"/>
        <v>1777</v>
      </c>
    </row>
    <row r="16" spans="1:11" ht="20.100000000000001" customHeight="1">
      <c r="A16" s="286" t="s">
        <v>1390</v>
      </c>
      <c r="B16" s="286" t="s">
        <v>156</v>
      </c>
      <c r="C16" s="287">
        <f>중기일람!D6</f>
        <v>57077</v>
      </c>
      <c r="D16" s="287">
        <f>중기일람!E6</f>
        <v>44323</v>
      </c>
      <c r="E16" s="287">
        <f>중기일람!F6</f>
        <v>28546</v>
      </c>
      <c r="F16" s="288">
        <f>중기작업량!H90</f>
        <v>81.172881355932205</v>
      </c>
      <c r="G16" s="291" t="s">
        <v>1014</v>
      </c>
      <c r="H16" s="287">
        <f t="shared" si="0"/>
        <v>703</v>
      </c>
      <c r="I16" s="287">
        <f t="shared" si="1"/>
        <v>546</v>
      </c>
      <c r="J16" s="287">
        <f t="shared" si="2"/>
        <v>351</v>
      </c>
      <c r="K16" s="287">
        <f t="shared" si="3"/>
        <v>1600</v>
      </c>
    </row>
    <row r="17" spans="1:11" ht="20.100000000000001" customHeight="1">
      <c r="A17" s="286" t="s">
        <v>158</v>
      </c>
      <c r="B17" s="289" t="s">
        <v>2296</v>
      </c>
      <c r="C17" s="287">
        <f>중기일람!D6</f>
        <v>57077</v>
      </c>
      <c r="D17" s="287">
        <f>D12</f>
        <v>9246</v>
      </c>
      <c r="E17" s="287">
        <f>E12</f>
        <v>12510</v>
      </c>
      <c r="F17" s="288">
        <f>중기작업량!H96</f>
        <v>40.319999999999993</v>
      </c>
      <c r="G17" s="291" t="s">
        <v>1014</v>
      </c>
      <c r="H17" s="287">
        <f t="shared" si="0"/>
        <v>1415</v>
      </c>
      <c r="I17" s="287">
        <f t="shared" si="1"/>
        <v>229</v>
      </c>
      <c r="J17" s="287">
        <f t="shared" si="2"/>
        <v>310</v>
      </c>
      <c r="K17" s="287">
        <f t="shared" si="3"/>
        <v>1954</v>
      </c>
    </row>
    <row r="18" spans="1:11" ht="20.100000000000001" customHeight="1">
      <c r="A18" s="286" t="s">
        <v>158</v>
      </c>
      <c r="B18" s="289" t="s">
        <v>155</v>
      </c>
      <c r="C18" s="287">
        <f>중기일람!D7</f>
        <v>57077</v>
      </c>
      <c r="D18" s="287">
        <f>중기일람!E7</f>
        <v>21629</v>
      </c>
      <c r="E18" s="287">
        <f>중기일람!F7</f>
        <v>21332</v>
      </c>
      <c r="F18" s="288">
        <f>중기작업량!H102</f>
        <v>63.503999999999998</v>
      </c>
      <c r="G18" s="291" t="s">
        <v>1014</v>
      </c>
      <c r="H18" s="287">
        <f>INT(C18/F18)</f>
        <v>898</v>
      </c>
      <c r="I18" s="287">
        <f>INT(D18/F18)</f>
        <v>340</v>
      </c>
      <c r="J18" s="287">
        <f>INT(E18/F18)</f>
        <v>335</v>
      </c>
      <c r="K18" s="287">
        <f>J18+I18+H18</f>
        <v>1573</v>
      </c>
    </row>
    <row r="19" spans="1:11" ht="20.100000000000001" customHeight="1">
      <c r="A19" s="286" t="s">
        <v>721</v>
      </c>
      <c r="B19" s="286" t="s">
        <v>720</v>
      </c>
      <c r="C19" s="287">
        <f>중기일람!D7</f>
        <v>57077</v>
      </c>
      <c r="D19" s="287">
        <f>중기일람!E7</f>
        <v>21629</v>
      </c>
      <c r="E19" s="287">
        <f>중기일람!F7</f>
        <v>21332</v>
      </c>
      <c r="F19" s="288">
        <f>중기작업량!H107</f>
        <v>79.199999999999989</v>
      </c>
      <c r="G19" s="291" t="s">
        <v>1014</v>
      </c>
      <c r="H19" s="287">
        <f t="shared" si="0"/>
        <v>720</v>
      </c>
      <c r="I19" s="287">
        <f t="shared" si="1"/>
        <v>273</v>
      </c>
      <c r="J19" s="287">
        <f t="shared" si="2"/>
        <v>269</v>
      </c>
      <c r="K19" s="287">
        <f t="shared" si="3"/>
        <v>1262</v>
      </c>
    </row>
    <row r="20" spans="1:11" ht="20.100000000000001" customHeight="1">
      <c r="A20" s="286" t="s">
        <v>722</v>
      </c>
      <c r="B20" s="286" t="s">
        <v>720</v>
      </c>
      <c r="C20" s="287">
        <f>중기일람!D8</f>
        <v>57077</v>
      </c>
      <c r="D20" s="287">
        <f>중기일람!E8</f>
        <v>21629</v>
      </c>
      <c r="E20" s="287">
        <f>중기일람!F8</f>
        <v>21332</v>
      </c>
      <c r="F20" s="288">
        <f>중기작업량!H113</f>
        <v>25.28</v>
      </c>
      <c r="G20" s="291" t="s">
        <v>1014</v>
      </c>
      <c r="H20" s="287">
        <f>INT(C20/F20)</f>
        <v>2257</v>
      </c>
      <c r="I20" s="287">
        <f>INT(D20/F20)</f>
        <v>855</v>
      </c>
      <c r="J20" s="287">
        <f>INT(E20/F20)</f>
        <v>843</v>
      </c>
      <c r="K20" s="287">
        <f>J20+I20+H20</f>
        <v>3955</v>
      </c>
    </row>
    <row r="21" spans="1:11" ht="20.100000000000001" customHeight="1">
      <c r="A21" s="286" t="s">
        <v>723</v>
      </c>
      <c r="B21" s="286" t="s">
        <v>724</v>
      </c>
      <c r="C21" s="287">
        <f>중기일람!D17</f>
        <v>57077</v>
      </c>
      <c r="D21" s="287">
        <f>중기일람!E17</f>
        <v>33535</v>
      </c>
      <c r="E21" s="287">
        <f>중기일람!F17</f>
        <v>18567</v>
      </c>
      <c r="F21" s="288">
        <f>중기작업량!F122</f>
        <v>19.440000000000001</v>
      </c>
      <c r="G21" s="291" t="s">
        <v>1014</v>
      </c>
      <c r="H21" s="287">
        <f>INT(C21/F21)</f>
        <v>2936</v>
      </c>
      <c r="I21" s="287">
        <f>INT(D21/F21)</f>
        <v>1725</v>
      </c>
      <c r="J21" s="287">
        <f>INT(E21/F21)</f>
        <v>955</v>
      </c>
      <c r="K21" s="287">
        <f>J21+I21+H21</f>
        <v>5616</v>
      </c>
    </row>
    <row r="22" spans="1:11" ht="20.100000000000001" customHeight="1">
      <c r="A22" s="286" t="s">
        <v>725</v>
      </c>
      <c r="B22" s="286" t="s">
        <v>720</v>
      </c>
      <c r="C22" s="287">
        <f>중기일람!D7</f>
        <v>57077</v>
      </c>
      <c r="D22" s="287">
        <f>중기일람!E7</f>
        <v>21629</v>
      </c>
      <c r="E22" s="287">
        <f>중기일람!F7</f>
        <v>21332</v>
      </c>
      <c r="F22" s="288">
        <f>중기작업량!H128</f>
        <v>94.54</v>
      </c>
      <c r="G22" s="291" t="s">
        <v>1014</v>
      </c>
      <c r="H22" s="287">
        <f t="shared" si="0"/>
        <v>603</v>
      </c>
      <c r="I22" s="287">
        <f t="shared" si="1"/>
        <v>228</v>
      </c>
      <c r="J22" s="287">
        <f t="shared" si="2"/>
        <v>225</v>
      </c>
      <c r="K22" s="287">
        <f t="shared" si="3"/>
        <v>1056</v>
      </c>
    </row>
    <row r="23" spans="1:11" ht="20.100000000000001" customHeight="1">
      <c r="A23" s="289" t="s">
        <v>726</v>
      </c>
      <c r="B23" s="289" t="s">
        <v>156</v>
      </c>
      <c r="C23" s="287">
        <f>중기일람!D6</f>
        <v>57077</v>
      </c>
      <c r="D23" s="287">
        <f>중기일람!E6</f>
        <v>44323</v>
      </c>
      <c r="E23" s="287">
        <f>중기일람!F6</f>
        <v>28546</v>
      </c>
      <c r="F23" s="288">
        <f>중기작업량!H134</f>
        <v>78.61</v>
      </c>
      <c r="G23" s="291" t="s">
        <v>1014</v>
      </c>
      <c r="H23" s="287">
        <f t="shared" si="0"/>
        <v>726</v>
      </c>
      <c r="I23" s="287">
        <f t="shared" si="1"/>
        <v>563</v>
      </c>
      <c r="J23" s="287">
        <f t="shared" si="2"/>
        <v>363</v>
      </c>
      <c r="K23" s="287">
        <f t="shared" si="3"/>
        <v>1652</v>
      </c>
    </row>
    <row r="24" spans="1:11" ht="20.100000000000001" customHeight="1">
      <c r="A24" s="289" t="s">
        <v>727</v>
      </c>
      <c r="B24" s="286" t="s">
        <v>724</v>
      </c>
      <c r="C24" s="287">
        <f>중기일람!D17</f>
        <v>57077</v>
      </c>
      <c r="D24" s="287">
        <f>중기일람!E17</f>
        <v>33535</v>
      </c>
      <c r="E24" s="287">
        <f>중기일람!F17</f>
        <v>18567</v>
      </c>
      <c r="F24" s="288">
        <f>중기작업량!F144</f>
        <v>62.15</v>
      </c>
      <c r="G24" s="291" t="s">
        <v>1014</v>
      </c>
      <c r="H24" s="287">
        <f t="shared" si="0"/>
        <v>918</v>
      </c>
      <c r="I24" s="287">
        <f t="shared" si="1"/>
        <v>539</v>
      </c>
      <c r="J24" s="287">
        <f t="shared" si="2"/>
        <v>298</v>
      </c>
      <c r="K24" s="287">
        <f t="shared" si="3"/>
        <v>1755</v>
      </c>
    </row>
    <row r="25" spans="1:11" ht="20.100000000000001" customHeight="1">
      <c r="A25" s="289" t="s">
        <v>728</v>
      </c>
      <c r="B25" s="289" t="s">
        <v>156</v>
      </c>
      <c r="C25" s="287">
        <f>중기일람!D6</f>
        <v>57077</v>
      </c>
      <c r="D25" s="287">
        <f>중기일람!E6</f>
        <v>44323</v>
      </c>
      <c r="E25" s="287">
        <f>중기일람!F6</f>
        <v>28546</v>
      </c>
      <c r="F25" s="288">
        <f>중기작업량!H150</f>
        <v>78.11</v>
      </c>
      <c r="G25" s="291" t="s">
        <v>1014</v>
      </c>
      <c r="H25" s="287">
        <f t="shared" si="0"/>
        <v>730</v>
      </c>
      <c r="I25" s="287">
        <f t="shared" si="1"/>
        <v>567</v>
      </c>
      <c r="J25" s="287">
        <f t="shared" si="2"/>
        <v>365</v>
      </c>
      <c r="K25" s="287">
        <f t="shared" si="3"/>
        <v>1662</v>
      </c>
    </row>
    <row r="26" spans="1:11" ht="20.100000000000001" customHeight="1">
      <c r="A26" s="289" t="s">
        <v>2017</v>
      </c>
      <c r="B26" s="286" t="s">
        <v>2002</v>
      </c>
      <c r="C26" s="287">
        <f>중기일람!D11</f>
        <v>57077</v>
      </c>
      <c r="D26" s="287">
        <f>중기일람!E11</f>
        <v>36360</v>
      </c>
      <c r="E26" s="287">
        <f>중기일람!F11</f>
        <v>25825</v>
      </c>
      <c r="F26" s="288">
        <f>중기작업량!H156</f>
        <v>75.41</v>
      </c>
      <c r="G26" s="291" t="s">
        <v>1014</v>
      </c>
      <c r="H26" s="287">
        <f t="shared" si="0"/>
        <v>756</v>
      </c>
      <c r="I26" s="287">
        <f t="shared" si="1"/>
        <v>482</v>
      </c>
      <c r="J26" s="287">
        <f t="shared" si="2"/>
        <v>342</v>
      </c>
      <c r="K26" s="287">
        <f t="shared" si="3"/>
        <v>1580</v>
      </c>
    </row>
    <row r="27" spans="1:11" ht="20.100000000000001" customHeight="1">
      <c r="A27" s="289" t="s">
        <v>2018</v>
      </c>
      <c r="B27" s="286" t="s">
        <v>2006</v>
      </c>
      <c r="C27" s="287">
        <f>중기일람!D18</f>
        <v>57077</v>
      </c>
      <c r="D27" s="287">
        <f>중기일람!E18</f>
        <v>48510</v>
      </c>
      <c r="E27" s="287">
        <f>중기일람!F18</f>
        <v>29465</v>
      </c>
      <c r="F27" s="288">
        <f>중기작업량!F165</f>
        <v>9.85</v>
      </c>
      <c r="G27" s="291" t="s">
        <v>1014</v>
      </c>
      <c r="H27" s="287">
        <f>INT(C27/F27)</f>
        <v>5794</v>
      </c>
      <c r="I27" s="287">
        <f>INT((D27/F27)*중기작업량!K165)</f>
        <v>4023</v>
      </c>
      <c r="J27" s="287">
        <f>INT(E27/F27)</f>
        <v>2991</v>
      </c>
      <c r="K27" s="287">
        <f>J27+I27+H27</f>
        <v>12808</v>
      </c>
    </row>
    <row r="28" spans="1:11" ht="20.100000000000001" customHeight="1">
      <c r="A28" s="289" t="s">
        <v>2024</v>
      </c>
      <c r="B28" s="286" t="s">
        <v>2002</v>
      </c>
      <c r="C28" s="287">
        <f t="shared" ref="C28:E29" si="4">C26</f>
        <v>57077</v>
      </c>
      <c r="D28" s="287">
        <f t="shared" si="4"/>
        <v>36360</v>
      </c>
      <c r="E28" s="287">
        <f t="shared" si="4"/>
        <v>25825</v>
      </c>
      <c r="F28" s="288">
        <f>중기작업량!H171</f>
        <v>72.260000000000005</v>
      </c>
      <c r="G28" s="291" t="s">
        <v>1014</v>
      </c>
      <c r="H28" s="287">
        <f>INT(C28/F28)</f>
        <v>789</v>
      </c>
      <c r="I28" s="287">
        <f>INT(D28/F28)</f>
        <v>503</v>
      </c>
      <c r="J28" s="287">
        <f>INT(E28/F28)</f>
        <v>357</v>
      </c>
      <c r="K28" s="287">
        <f>J28+I28+H28</f>
        <v>1649</v>
      </c>
    </row>
    <row r="29" spans="1:11" ht="20.100000000000001" customHeight="1">
      <c r="A29" s="289" t="s">
        <v>2025</v>
      </c>
      <c r="B29" s="286" t="s">
        <v>2508</v>
      </c>
      <c r="C29" s="287">
        <f>중기일람!D18</f>
        <v>57077</v>
      </c>
      <c r="D29" s="287">
        <f t="shared" si="4"/>
        <v>48510</v>
      </c>
      <c r="E29" s="287">
        <f t="shared" si="4"/>
        <v>29465</v>
      </c>
      <c r="F29" s="288">
        <f>중기작업량!F180</f>
        <v>9.7899999999999991</v>
      </c>
      <c r="G29" s="291" t="s">
        <v>1014</v>
      </c>
      <c r="H29" s="287">
        <f>INT(C29/F29)</f>
        <v>5830</v>
      </c>
      <c r="I29" s="287">
        <f>INT((D29/F29)*중기작업량!K180)</f>
        <v>4023</v>
      </c>
      <c r="J29" s="287">
        <f>INT(E29/F29)</f>
        <v>3009</v>
      </c>
      <c r="K29" s="287">
        <f>J29+I29+H29</f>
        <v>12862</v>
      </c>
    </row>
    <row r="30" spans="1:11" ht="20.100000000000001" customHeight="1">
      <c r="A30" s="286" t="s">
        <v>729</v>
      </c>
      <c r="B30" s="286" t="s">
        <v>720</v>
      </c>
      <c r="C30" s="287">
        <f>중기일람!D7</f>
        <v>57077</v>
      </c>
      <c r="D30" s="287">
        <f>중기일람!E7</f>
        <v>21629</v>
      </c>
      <c r="E30" s="287">
        <f>중기일람!F7</f>
        <v>21332</v>
      </c>
      <c r="F30" s="288">
        <f>중기작업량!H186</f>
        <v>67.930000000000007</v>
      </c>
      <c r="G30" s="291" t="s">
        <v>1014</v>
      </c>
      <c r="H30" s="287">
        <f t="shared" si="0"/>
        <v>840</v>
      </c>
      <c r="I30" s="287">
        <f t="shared" si="1"/>
        <v>318</v>
      </c>
      <c r="J30" s="287">
        <f t="shared" si="2"/>
        <v>314</v>
      </c>
      <c r="K30" s="287">
        <f t="shared" si="3"/>
        <v>1472</v>
      </c>
    </row>
    <row r="31" spans="1:11" ht="20.100000000000001" customHeight="1">
      <c r="A31" s="292" t="s">
        <v>730</v>
      </c>
      <c r="B31" s="286" t="s">
        <v>720</v>
      </c>
      <c r="C31" s="287">
        <f>중기일람!D7</f>
        <v>57077</v>
      </c>
      <c r="D31" s="287">
        <f>중기일람!E7</f>
        <v>21629</v>
      </c>
      <c r="E31" s="287">
        <f>중기일람!F7</f>
        <v>21332</v>
      </c>
      <c r="F31" s="288">
        <f>중기작업량!H192</f>
        <v>56.699999999999989</v>
      </c>
      <c r="G31" s="291" t="s">
        <v>1014</v>
      </c>
      <c r="H31" s="287">
        <f t="shared" si="0"/>
        <v>1006</v>
      </c>
      <c r="I31" s="287">
        <f t="shared" si="1"/>
        <v>381</v>
      </c>
      <c r="J31" s="287">
        <f t="shared" si="2"/>
        <v>376</v>
      </c>
      <c r="K31" s="287">
        <f t="shared" si="3"/>
        <v>1763</v>
      </c>
    </row>
    <row r="32" spans="1:11" ht="20.100000000000001" customHeight="1">
      <c r="A32" s="292" t="s">
        <v>731</v>
      </c>
      <c r="B32" s="286" t="s">
        <v>724</v>
      </c>
      <c r="C32" s="287">
        <f>중기일람!D17</f>
        <v>57077</v>
      </c>
      <c r="D32" s="287">
        <f>중기일람!E17</f>
        <v>33535</v>
      </c>
      <c r="E32" s="287">
        <f>중기일람!F17</f>
        <v>18567</v>
      </c>
      <c r="F32" s="288">
        <f>중기작업량!F201</f>
        <v>23.17</v>
      </c>
      <c r="G32" s="291" t="s">
        <v>1014</v>
      </c>
      <c r="H32" s="287">
        <f t="shared" si="0"/>
        <v>2463</v>
      </c>
      <c r="I32" s="287">
        <f t="shared" si="1"/>
        <v>1447</v>
      </c>
      <c r="J32" s="287">
        <f t="shared" si="2"/>
        <v>801</v>
      </c>
      <c r="K32" s="287">
        <f t="shared" si="3"/>
        <v>4711</v>
      </c>
    </row>
    <row r="33" spans="1:11" ht="20.100000000000001" customHeight="1">
      <c r="A33" s="292" t="s">
        <v>732</v>
      </c>
      <c r="B33" s="286" t="s">
        <v>724</v>
      </c>
      <c r="C33" s="287">
        <f>중기일람!D17</f>
        <v>57077</v>
      </c>
      <c r="D33" s="287">
        <f>중기일람!E17</f>
        <v>33535</v>
      </c>
      <c r="E33" s="287">
        <f>중기일람!F17</f>
        <v>18567</v>
      </c>
      <c r="F33" s="288">
        <f>중기작업량!F210</f>
        <v>12.52</v>
      </c>
      <c r="G33" s="291" t="s">
        <v>1014</v>
      </c>
      <c r="H33" s="287">
        <f t="shared" si="0"/>
        <v>4558</v>
      </c>
      <c r="I33" s="287">
        <f t="shared" si="1"/>
        <v>2678</v>
      </c>
      <c r="J33" s="287">
        <f t="shared" si="2"/>
        <v>1482</v>
      </c>
      <c r="K33" s="287">
        <f t="shared" si="3"/>
        <v>8718</v>
      </c>
    </row>
    <row r="34" spans="1:11" ht="20.100000000000001" customHeight="1">
      <c r="A34" s="289" t="s">
        <v>733</v>
      </c>
      <c r="B34" s="286" t="s">
        <v>720</v>
      </c>
      <c r="C34" s="287">
        <f>중기일람!D7</f>
        <v>57077</v>
      </c>
      <c r="D34" s="287">
        <f>중기일람!E7</f>
        <v>21629</v>
      </c>
      <c r="E34" s="287">
        <f>중기일람!F7</f>
        <v>21332</v>
      </c>
      <c r="F34" s="288">
        <f>중기작업량!H216</f>
        <v>94.539789473684209</v>
      </c>
      <c r="G34" s="291" t="s">
        <v>1014</v>
      </c>
      <c r="H34" s="287">
        <f t="shared" si="0"/>
        <v>603</v>
      </c>
      <c r="I34" s="287">
        <f t="shared" si="1"/>
        <v>228</v>
      </c>
      <c r="J34" s="287">
        <f t="shared" si="2"/>
        <v>225</v>
      </c>
      <c r="K34" s="287">
        <f t="shared" si="3"/>
        <v>1056</v>
      </c>
    </row>
    <row r="35" spans="1:11" ht="20.100000000000001" customHeight="1">
      <c r="A35" s="289" t="s">
        <v>734</v>
      </c>
      <c r="B35" s="286" t="s">
        <v>724</v>
      </c>
      <c r="C35" s="287">
        <f>중기일람!D17</f>
        <v>57077</v>
      </c>
      <c r="D35" s="287">
        <f>중기일람!E17</f>
        <v>33535</v>
      </c>
      <c r="E35" s="287">
        <f>중기일람!F17</f>
        <v>18567</v>
      </c>
      <c r="F35" s="288">
        <f>중기작업량!F225</f>
        <v>33.54</v>
      </c>
      <c r="G35" s="291" t="s">
        <v>1014</v>
      </c>
      <c r="H35" s="287">
        <f t="shared" si="0"/>
        <v>1701</v>
      </c>
      <c r="I35" s="287">
        <f t="shared" si="1"/>
        <v>999</v>
      </c>
      <c r="J35" s="287">
        <f t="shared" si="2"/>
        <v>553</v>
      </c>
      <c r="K35" s="287">
        <f t="shared" si="3"/>
        <v>3253</v>
      </c>
    </row>
    <row r="36" spans="1:11" ht="20.100000000000001" customHeight="1">
      <c r="A36" s="286" t="s">
        <v>735</v>
      </c>
      <c r="B36" s="286" t="s">
        <v>736</v>
      </c>
      <c r="C36" s="287">
        <f>중기일람!D4</f>
        <v>57077</v>
      </c>
      <c r="D36" s="287">
        <f>중기일람!E4</f>
        <v>25884</v>
      </c>
      <c r="E36" s="287">
        <f>중기일람!F4</f>
        <v>27562</v>
      </c>
      <c r="F36" s="288">
        <f>중기작업량!F231</f>
        <v>112</v>
      </c>
      <c r="G36" s="291" t="s">
        <v>1394</v>
      </c>
      <c r="H36" s="287">
        <f t="shared" si="0"/>
        <v>509</v>
      </c>
      <c r="I36" s="287">
        <f t="shared" si="1"/>
        <v>231</v>
      </c>
      <c r="J36" s="287">
        <f t="shared" si="2"/>
        <v>246</v>
      </c>
      <c r="K36" s="287">
        <f t="shared" si="3"/>
        <v>986</v>
      </c>
    </row>
    <row r="37" spans="1:11" ht="20.100000000000001" customHeight="1">
      <c r="A37" s="286" t="s">
        <v>618</v>
      </c>
      <c r="B37" s="289" t="s">
        <v>156</v>
      </c>
      <c r="C37" s="287">
        <f>중기일람!D6</f>
        <v>57077</v>
      </c>
      <c r="D37" s="287">
        <f>중기일람!E6</f>
        <v>44323</v>
      </c>
      <c r="E37" s="287">
        <f>중기일람!F6</f>
        <v>28546</v>
      </c>
      <c r="F37" s="288">
        <f>중기작업량!H238</f>
        <v>266.44897959183675</v>
      </c>
      <c r="G37" s="291" t="s">
        <v>1394</v>
      </c>
      <c r="H37" s="287">
        <f t="shared" si="0"/>
        <v>214</v>
      </c>
      <c r="I37" s="287">
        <f t="shared" si="1"/>
        <v>166</v>
      </c>
      <c r="J37" s="287">
        <f t="shared" si="2"/>
        <v>107</v>
      </c>
      <c r="K37" s="287">
        <f t="shared" si="3"/>
        <v>487</v>
      </c>
    </row>
    <row r="38" spans="1:11" ht="20.100000000000001" customHeight="1">
      <c r="A38" s="286" t="s">
        <v>737</v>
      </c>
      <c r="B38" s="286" t="s">
        <v>156</v>
      </c>
      <c r="C38" s="287">
        <f>중기일람!D6</f>
        <v>57077</v>
      </c>
      <c r="D38" s="287">
        <f>중기일람!E6</f>
        <v>44323</v>
      </c>
      <c r="E38" s="287">
        <f>중기일람!F6</f>
        <v>28546</v>
      </c>
      <c r="F38" s="288">
        <f>중기작업량!H244</f>
        <v>143.26</v>
      </c>
      <c r="G38" s="291" t="s">
        <v>1014</v>
      </c>
      <c r="H38" s="287">
        <f t="shared" si="0"/>
        <v>398</v>
      </c>
      <c r="I38" s="287">
        <f t="shared" si="1"/>
        <v>309</v>
      </c>
      <c r="J38" s="287">
        <f t="shared" si="2"/>
        <v>199</v>
      </c>
      <c r="K38" s="287">
        <f t="shared" si="3"/>
        <v>906</v>
      </c>
    </row>
    <row r="39" spans="1:11" ht="20.100000000000001" customHeight="1">
      <c r="A39" s="286" t="s">
        <v>1388</v>
      </c>
      <c r="B39" s="286" t="s">
        <v>187</v>
      </c>
      <c r="C39" s="287">
        <f>중기일람!D22</f>
        <v>35608</v>
      </c>
      <c r="D39" s="287">
        <f>중기일람!E22</f>
        <v>2034</v>
      </c>
      <c r="E39" s="287">
        <f>중기일람!F22</f>
        <v>529</v>
      </c>
      <c r="F39" s="288">
        <f>중기작업량!F250</f>
        <v>9</v>
      </c>
      <c r="G39" s="291" t="s">
        <v>1014</v>
      </c>
      <c r="H39" s="287">
        <f t="shared" si="0"/>
        <v>3956</v>
      </c>
      <c r="I39" s="287">
        <f t="shared" si="1"/>
        <v>226</v>
      </c>
      <c r="J39" s="287">
        <f t="shared" si="2"/>
        <v>58</v>
      </c>
      <c r="K39" s="287">
        <f t="shared" si="3"/>
        <v>4240</v>
      </c>
    </row>
    <row r="40" spans="1:11" ht="20.100000000000001" customHeight="1">
      <c r="A40" s="286" t="s">
        <v>738</v>
      </c>
      <c r="B40" s="286" t="s">
        <v>1286</v>
      </c>
      <c r="C40" s="287">
        <f>중기일람!D10</f>
        <v>57077</v>
      </c>
      <c r="D40" s="287">
        <f>중기일람!E10</f>
        <v>21629.600000000002</v>
      </c>
      <c r="E40" s="287">
        <f>중기일람!F10</f>
        <v>31671</v>
      </c>
      <c r="F40" s="288">
        <f>중기작업량!D265</f>
        <v>5.5</v>
      </c>
      <c r="G40" s="291" t="s">
        <v>1014</v>
      </c>
      <c r="H40" s="287">
        <f t="shared" si="0"/>
        <v>10377</v>
      </c>
      <c r="I40" s="287">
        <f t="shared" si="1"/>
        <v>3932</v>
      </c>
      <c r="J40" s="287">
        <f t="shared" si="2"/>
        <v>5758</v>
      </c>
      <c r="K40" s="287">
        <f t="shared" si="3"/>
        <v>20067</v>
      </c>
    </row>
    <row r="41" spans="1:11" ht="20.100000000000001" customHeight="1">
      <c r="A41" s="286" t="s">
        <v>738</v>
      </c>
      <c r="B41" s="286" t="s">
        <v>1391</v>
      </c>
      <c r="C41" s="287">
        <f>중기일람!D10</f>
        <v>57077</v>
      </c>
      <c r="D41" s="287">
        <f>중기일람!E10</f>
        <v>21629.600000000002</v>
      </c>
      <c r="E41" s="287">
        <f>중기일람!F10</f>
        <v>31671</v>
      </c>
      <c r="F41" s="288">
        <f>중기작업량!D268</f>
        <v>5</v>
      </c>
      <c r="G41" s="291" t="s">
        <v>1014</v>
      </c>
      <c r="H41" s="287">
        <f t="shared" si="0"/>
        <v>11415</v>
      </c>
      <c r="I41" s="287">
        <f t="shared" si="1"/>
        <v>4325</v>
      </c>
      <c r="J41" s="287">
        <f t="shared" si="2"/>
        <v>6334</v>
      </c>
      <c r="K41" s="287">
        <f t="shared" si="3"/>
        <v>22074</v>
      </c>
    </row>
    <row r="42" spans="1:11" ht="20.100000000000001" customHeight="1">
      <c r="A42" s="286" t="s">
        <v>738</v>
      </c>
      <c r="B42" s="286" t="s">
        <v>1287</v>
      </c>
      <c r="C42" s="287">
        <f>중기일람!D10</f>
        <v>57077</v>
      </c>
      <c r="D42" s="287">
        <f>중기일람!E10</f>
        <v>21629.600000000002</v>
      </c>
      <c r="E42" s="287">
        <f>중기일람!F10</f>
        <v>31671</v>
      </c>
      <c r="F42" s="288">
        <f>중기작업량!D272</f>
        <v>3.4</v>
      </c>
      <c r="G42" s="291" t="s">
        <v>1014</v>
      </c>
      <c r="H42" s="287">
        <f t="shared" si="0"/>
        <v>16787</v>
      </c>
      <c r="I42" s="287">
        <f t="shared" si="1"/>
        <v>6361</v>
      </c>
      <c r="J42" s="287">
        <f t="shared" si="2"/>
        <v>9315</v>
      </c>
      <c r="K42" s="287">
        <f t="shared" si="3"/>
        <v>32463</v>
      </c>
    </row>
    <row r="43" spans="1:11" ht="20.100000000000001" customHeight="1">
      <c r="A43" s="289" t="s">
        <v>739</v>
      </c>
      <c r="B43" s="286" t="s">
        <v>1392</v>
      </c>
      <c r="C43" s="287">
        <f>중기일람!D10</f>
        <v>57077</v>
      </c>
      <c r="D43" s="287">
        <f>중기일람!E10</f>
        <v>21629.600000000002</v>
      </c>
      <c r="E43" s="287">
        <f>중기일람!F10</f>
        <v>31671</v>
      </c>
      <c r="F43" s="288">
        <f>중기작업량!D276</f>
        <v>4.5999999999999996</v>
      </c>
      <c r="G43" s="291" t="s">
        <v>1014</v>
      </c>
      <c r="H43" s="287">
        <f t="shared" si="0"/>
        <v>12408</v>
      </c>
      <c r="I43" s="287">
        <f t="shared" si="1"/>
        <v>4702</v>
      </c>
      <c r="J43" s="287">
        <f t="shared" si="2"/>
        <v>6885</v>
      </c>
      <c r="K43" s="287">
        <f t="shared" si="3"/>
        <v>23995</v>
      </c>
    </row>
    <row r="44" spans="1:11" ht="20.100000000000001" customHeight="1">
      <c r="A44" s="289" t="s">
        <v>740</v>
      </c>
      <c r="B44" s="289" t="s">
        <v>1393</v>
      </c>
      <c r="C44" s="287">
        <f>중기일람!D10</f>
        <v>57077</v>
      </c>
      <c r="D44" s="287">
        <f>중기일람!E10</f>
        <v>21629.600000000002</v>
      </c>
      <c r="E44" s="287">
        <f>중기일람!F10</f>
        <v>31671</v>
      </c>
      <c r="F44" s="288">
        <f>중기작업량!D280</f>
        <v>3.6</v>
      </c>
      <c r="G44" s="291" t="s">
        <v>1014</v>
      </c>
      <c r="H44" s="287">
        <f t="shared" si="0"/>
        <v>15854</v>
      </c>
      <c r="I44" s="287">
        <f t="shared" si="1"/>
        <v>6008</v>
      </c>
      <c r="J44" s="287">
        <f t="shared" si="2"/>
        <v>8797</v>
      </c>
      <c r="K44" s="287">
        <f t="shared" si="3"/>
        <v>30659</v>
      </c>
    </row>
    <row r="45" spans="1:11" ht="20.100000000000001" customHeight="1">
      <c r="A45" s="289" t="s">
        <v>751</v>
      </c>
      <c r="B45" s="286" t="s">
        <v>1392</v>
      </c>
      <c r="C45" s="287">
        <f>중기일람!D10</f>
        <v>57077</v>
      </c>
      <c r="D45" s="287">
        <f>중기일람!E10</f>
        <v>21629.600000000002</v>
      </c>
      <c r="E45" s="287">
        <f>중기일람!F10</f>
        <v>31671</v>
      </c>
      <c r="F45" s="288">
        <f>중기작업량!D284</f>
        <v>2.4500000000000002</v>
      </c>
      <c r="G45" s="291" t="s">
        <v>1014</v>
      </c>
      <c r="H45" s="287">
        <f t="shared" si="0"/>
        <v>23296</v>
      </c>
      <c r="I45" s="287">
        <f t="shared" si="1"/>
        <v>8828</v>
      </c>
      <c r="J45" s="287">
        <f t="shared" si="2"/>
        <v>12926</v>
      </c>
      <c r="K45" s="287">
        <f t="shared" si="3"/>
        <v>45050</v>
      </c>
    </row>
    <row r="46" spans="1:11" ht="20.100000000000001" customHeight="1">
      <c r="A46" s="289" t="s">
        <v>751</v>
      </c>
      <c r="B46" s="289" t="s">
        <v>1393</v>
      </c>
      <c r="C46" s="287">
        <f>중기일람!D10</f>
        <v>57077</v>
      </c>
      <c r="D46" s="287">
        <f>중기일람!E10</f>
        <v>21629.600000000002</v>
      </c>
      <c r="E46" s="287">
        <f>중기일람!F10</f>
        <v>31671</v>
      </c>
      <c r="F46" s="288">
        <f>중기작업량!D288</f>
        <v>2.0499999999999998</v>
      </c>
      <c r="G46" s="291" t="s">
        <v>1014</v>
      </c>
      <c r="H46" s="287">
        <f t="shared" si="0"/>
        <v>27842</v>
      </c>
      <c r="I46" s="287">
        <f t="shared" si="1"/>
        <v>10551</v>
      </c>
      <c r="J46" s="287">
        <f t="shared" si="2"/>
        <v>15449</v>
      </c>
      <c r="K46" s="287">
        <f t="shared" si="3"/>
        <v>53842</v>
      </c>
    </row>
    <row r="47" spans="1:11" ht="20.100000000000001" customHeight="1">
      <c r="A47" s="244"/>
      <c r="B47" s="244"/>
      <c r="C47" s="77"/>
      <c r="D47" s="77"/>
      <c r="E47" s="77"/>
      <c r="F47" s="293"/>
      <c r="G47" s="294"/>
      <c r="H47" s="77"/>
      <c r="I47" s="77"/>
      <c r="J47" s="77"/>
      <c r="K47" s="77"/>
    </row>
  </sheetData>
  <customSheetViews>
    <customSheetView guid="{D73D5080-A04E-11D4-B8A5-00609727EAB1}" showPageBreaks="1" showRuler="0" topLeftCell="A17">
      <selection activeCell="G17" sqref="G17"/>
      <pageMargins left="0.42" right="0.3" top="1" bottom="1" header="0.5" footer="0.5"/>
      <pageSetup paperSize="9" orientation="landscape" horizontalDpi="300" verticalDpi="300" r:id="rId1"/>
      <headerFooter alignWithMargins="0"/>
    </customSheetView>
    <customSheetView guid="{2D877E0D-A04C-11D4-947E-00001C044B2C}" showRuler="0" topLeftCell="A85">
      <selection activeCell="C94" sqref="C94"/>
      <pageMargins left="0.42" right="0.3" top="1" bottom="1" header="0.5" footer="0.5"/>
      <pageSetup paperSize="9" orientation="landscape" horizontalDpi="300" verticalDpi="300" r:id="rId2"/>
      <headerFooter alignWithMargins="0"/>
    </customSheetView>
    <customSheetView guid="{6F21C780-A002-11D4-A1D9-00104BD549C6}" showRuler="0" topLeftCell="A85">
      <selection activeCell="C94" sqref="C94"/>
      <pageMargins left="0.42" right="0.3" top="1" bottom="1" header="0.5" footer="0.5"/>
      <pageSetup paperSize="9" orientation="landscape" horizontalDpi="300" verticalDpi="300" r:id="rId3"/>
      <headerFooter alignWithMargins="0"/>
    </customSheetView>
  </customSheetViews>
  <mergeCells count="5">
    <mergeCell ref="A2:A3"/>
    <mergeCell ref="B2:B3"/>
    <mergeCell ref="H2:K2"/>
    <mergeCell ref="C2:E2"/>
    <mergeCell ref="F2:G2"/>
  </mergeCells>
  <phoneticPr fontId="3" type="noConversion"/>
  <printOptions horizontalCentered="1"/>
  <pageMargins left="0.39370078740157483" right="0.39370078740157483" top="0.78740157480314965" bottom="0.59055118110236227" header="0.39370078740157483" footer="0.39370078740157483"/>
  <pageSetup paperSize="9" orientation="landscape" r:id="rId4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16"/>
  <dimension ref="A1:O296"/>
  <sheetViews>
    <sheetView topLeftCell="A204" workbookViewId="0">
      <selection activeCell="G231" sqref="G231"/>
    </sheetView>
  </sheetViews>
  <sheetFormatPr defaultColWidth="8.88671875" defaultRowHeight="15" customHeight="1"/>
  <cols>
    <col min="1" max="1" width="8.88671875" style="237"/>
    <col min="2" max="2" width="2.6640625" style="237" customWidth="1"/>
    <col min="3" max="3" width="8.88671875" style="237"/>
    <col min="4" max="4" width="11.44140625" style="237" customWidth="1"/>
    <col min="5" max="5" width="8.88671875" style="245"/>
    <col min="6" max="6" width="8.88671875" style="237"/>
    <col min="7" max="7" width="5.44140625" style="237" customWidth="1"/>
    <col min="8" max="8" width="9.6640625" style="245" customWidth="1"/>
    <col min="9" max="9" width="8.88671875" style="237"/>
    <col min="10" max="10" width="5.44140625" style="269" customWidth="1"/>
    <col min="11" max="11" width="8.77734375" style="245" customWidth="1"/>
    <col min="12" max="12" width="6.33203125" style="237" customWidth="1"/>
    <col min="13" max="13" width="8.88671875" style="245"/>
    <col min="14" max="16384" width="8.88671875" style="237"/>
  </cols>
  <sheetData>
    <row r="1" spans="1:15" ht="20.100000000000001" customHeight="1">
      <c r="A1" s="233" t="s">
        <v>120</v>
      </c>
      <c r="B1" s="234"/>
      <c r="C1" s="234"/>
      <c r="D1" s="234"/>
      <c r="E1" s="235"/>
      <c r="F1" s="234"/>
      <c r="G1" s="234"/>
      <c r="H1" s="235"/>
      <c r="I1" s="234"/>
      <c r="J1" s="236"/>
      <c r="K1" s="235"/>
      <c r="L1" s="234"/>
      <c r="M1" s="235"/>
      <c r="N1" s="234"/>
    </row>
    <row r="2" spans="1:15" ht="15" customHeight="1">
      <c r="A2" s="238"/>
      <c r="B2" s="239"/>
      <c r="C2" s="239"/>
      <c r="D2" s="239"/>
      <c r="E2" s="240"/>
      <c r="F2" s="239"/>
      <c r="G2" s="239"/>
      <c r="H2" s="240"/>
      <c r="I2" s="239"/>
      <c r="J2" s="241"/>
      <c r="K2" s="240"/>
      <c r="L2" s="239"/>
      <c r="M2" s="240"/>
      <c r="N2" s="239"/>
      <c r="O2" s="242"/>
    </row>
    <row r="3" spans="1:15" ht="15" customHeight="1">
      <c r="A3" s="243"/>
      <c r="B3" s="237" t="s">
        <v>1218</v>
      </c>
      <c r="C3" s="244" t="s">
        <v>1219</v>
      </c>
      <c r="J3" s="246"/>
      <c r="O3" s="247"/>
    </row>
    <row r="4" spans="1:15" ht="15" customHeight="1">
      <c r="A4" s="243"/>
      <c r="D4" s="237" t="s">
        <v>1220</v>
      </c>
      <c r="E4" s="248" t="s">
        <v>121</v>
      </c>
      <c r="G4" s="179" t="s">
        <v>1221</v>
      </c>
      <c r="H4" s="245">
        <v>20</v>
      </c>
      <c r="I4" s="237" t="s">
        <v>1019</v>
      </c>
      <c r="J4" s="246"/>
      <c r="O4" s="247"/>
    </row>
    <row r="5" spans="1:15" ht="15" customHeight="1">
      <c r="A5" s="243"/>
      <c r="D5" s="179" t="s">
        <v>1222</v>
      </c>
      <c r="E5" s="249">
        <v>1</v>
      </c>
      <c r="G5" s="200" t="s">
        <v>1223</v>
      </c>
      <c r="H5" s="249">
        <v>0.6</v>
      </c>
      <c r="J5" s="131" t="s">
        <v>1224</v>
      </c>
      <c r="K5" s="249">
        <v>0.3</v>
      </c>
      <c r="O5" s="247"/>
    </row>
    <row r="6" spans="1:15" ht="15" customHeight="1">
      <c r="A6" s="243"/>
      <c r="D6" s="1017" t="s">
        <v>1225</v>
      </c>
      <c r="E6" s="1017"/>
      <c r="F6" s="1017"/>
      <c r="G6" s="1017"/>
      <c r="H6" s="245">
        <v>1.25</v>
      </c>
      <c r="I6" s="237" t="s">
        <v>1226</v>
      </c>
      <c r="J6" s="246"/>
      <c r="O6" s="247"/>
    </row>
    <row r="7" spans="1:15" ht="15" customHeight="1">
      <c r="A7" s="243"/>
      <c r="D7" s="1017" t="s">
        <v>1227</v>
      </c>
      <c r="E7" s="1017"/>
      <c r="F7" s="1017"/>
      <c r="G7" s="1017"/>
      <c r="H7" s="245">
        <f>60*K5*H4*E5*H5/H6</f>
        <v>172.8</v>
      </c>
      <c r="I7" s="237" t="s">
        <v>153</v>
      </c>
      <c r="J7" s="246"/>
      <c r="O7" s="247"/>
    </row>
    <row r="8" spans="1:15" ht="15" customHeight="1">
      <c r="A8" s="243"/>
      <c r="J8" s="246"/>
      <c r="O8" s="247"/>
    </row>
    <row r="9" spans="1:15" ht="15" customHeight="1">
      <c r="A9" s="243"/>
      <c r="B9" s="237" t="s">
        <v>1218</v>
      </c>
      <c r="C9" s="250" t="s">
        <v>1228</v>
      </c>
      <c r="J9" s="246"/>
      <c r="O9" s="247"/>
    </row>
    <row r="10" spans="1:15" ht="15" customHeight="1">
      <c r="A10" s="243"/>
      <c r="D10" s="237" t="s">
        <v>1220</v>
      </c>
      <c r="E10" s="248" t="s">
        <v>121</v>
      </c>
      <c r="G10" s="179" t="s">
        <v>1221</v>
      </c>
      <c r="H10" s="251">
        <v>20</v>
      </c>
      <c r="I10" s="237" t="s">
        <v>1019</v>
      </c>
      <c r="J10" s="252" t="s">
        <v>1229</v>
      </c>
      <c r="K10" s="253" t="s">
        <v>1230</v>
      </c>
      <c r="L10" s="237">
        <v>3.07</v>
      </c>
      <c r="M10" s="245" t="s">
        <v>1014</v>
      </c>
      <c r="O10" s="247"/>
    </row>
    <row r="11" spans="1:15" ht="15" customHeight="1">
      <c r="A11" s="243"/>
      <c r="D11" s="200" t="s">
        <v>1231</v>
      </c>
      <c r="E11" s="249">
        <v>0.77</v>
      </c>
      <c r="G11" s="200" t="s">
        <v>1223</v>
      </c>
      <c r="H11" s="245">
        <v>0.35</v>
      </c>
      <c r="J11" s="246" t="s">
        <v>1232</v>
      </c>
      <c r="K11" s="245">
        <v>40</v>
      </c>
      <c r="L11" s="244" t="s">
        <v>1233</v>
      </c>
      <c r="M11" s="245">
        <v>46</v>
      </c>
      <c r="O11" s="247"/>
    </row>
    <row r="12" spans="1:15" ht="15" customHeight="1">
      <c r="A12" s="243"/>
      <c r="D12" s="1017" t="s">
        <v>546</v>
      </c>
      <c r="E12" s="1017"/>
      <c r="F12" s="1017"/>
      <c r="G12" s="1017"/>
      <c r="H12" s="245">
        <f>ROUND(((H10/K11)+(H10/M11)+0.25)/10*10,2)</f>
        <v>1.18</v>
      </c>
      <c r="I12" s="237" t="s">
        <v>1226</v>
      </c>
      <c r="J12" s="246"/>
      <c r="O12" s="247"/>
    </row>
    <row r="13" spans="1:15" ht="15" customHeight="1">
      <c r="A13" s="243"/>
      <c r="D13" s="1017" t="s">
        <v>547</v>
      </c>
      <c r="E13" s="1017"/>
      <c r="F13" s="1017"/>
      <c r="G13" s="1017"/>
      <c r="H13" s="245">
        <f>60*L10*E11*H11/H12</f>
        <v>42.069406779661016</v>
      </c>
      <c r="I13" s="237" t="s">
        <v>153</v>
      </c>
      <c r="J13" s="246"/>
      <c r="O13" s="247"/>
    </row>
    <row r="14" spans="1:15" ht="15" customHeight="1">
      <c r="A14" s="243"/>
      <c r="J14" s="246"/>
      <c r="O14" s="247"/>
    </row>
    <row r="15" spans="1:15" ht="15" customHeight="1">
      <c r="A15" s="243"/>
      <c r="B15" s="237" t="s">
        <v>1218</v>
      </c>
      <c r="C15" s="250" t="s">
        <v>122</v>
      </c>
      <c r="J15" s="77"/>
      <c r="O15" s="247"/>
    </row>
    <row r="16" spans="1:15" ht="15" customHeight="1">
      <c r="A16" s="243"/>
      <c r="D16" s="237" t="s">
        <v>1220</v>
      </c>
      <c r="E16" s="248" t="s">
        <v>121</v>
      </c>
      <c r="G16" s="179" t="s">
        <v>1221</v>
      </c>
      <c r="H16" s="245">
        <v>20</v>
      </c>
      <c r="I16" s="237" t="s">
        <v>1019</v>
      </c>
      <c r="J16" s="254" t="s">
        <v>1229</v>
      </c>
      <c r="K16" s="253" t="s">
        <v>1230</v>
      </c>
      <c r="L16" s="237">
        <v>3.07</v>
      </c>
      <c r="M16" s="245" t="s">
        <v>1014</v>
      </c>
      <c r="O16" s="247"/>
    </row>
    <row r="17" spans="1:15" ht="15" customHeight="1">
      <c r="A17" s="243"/>
      <c r="D17" s="200" t="s">
        <v>549</v>
      </c>
      <c r="E17" s="249">
        <v>0.8</v>
      </c>
      <c r="G17" s="200" t="s">
        <v>1223</v>
      </c>
      <c r="H17" s="245">
        <v>0.5</v>
      </c>
      <c r="J17" s="77" t="s">
        <v>1232</v>
      </c>
      <c r="K17" s="255">
        <v>40</v>
      </c>
      <c r="L17" s="244" t="s">
        <v>1233</v>
      </c>
      <c r="M17" s="255">
        <v>46</v>
      </c>
      <c r="O17" s="247"/>
    </row>
    <row r="18" spans="1:15" ht="15" customHeight="1">
      <c r="A18" s="243"/>
      <c r="D18" s="1017" t="s">
        <v>546</v>
      </c>
      <c r="E18" s="1017"/>
      <c r="F18" s="1017"/>
      <c r="G18" s="1017"/>
      <c r="H18" s="245">
        <f>ROUND(((H16/K17)+(H16/M17)+0.25)/10*10,2)</f>
        <v>1.18</v>
      </c>
      <c r="I18" s="237" t="s">
        <v>1226</v>
      </c>
      <c r="J18" s="77"/>
      <c r="O18" s="247"/>
    </row>
    <row r="19" spans="1:15" ht="15" customHeight="1">
      <c r="A19" s="243"/>
      <c r="D19" s="1017" t="s">
        <v>547</v>
      </c>
      <c r="E19" s="1017"/>
      <c r="F19" s="1017"/>
      <c r="G19" s="1017"/>
      <c r="H19" s="245">
        <f>60*L16*E17*H17/H18</f>
        <v>62.440677966101688</v>
      </c>
      <c r="I19" s="237" t="s">
        <v>153</v>
      </c>
      <c r="J19" s="77"/>
      <c r="O19" s="247"/>
    </row>
    <row r="20" spans="1:15" ht="15" customHeight="1">
      <c r="A20" s="243"/>
      <c r="D20" s="200"/>
      <c r="E20" s="200"/>
      <c r="F20" s="200"/>
      <c r="G20" s="200"/>
      <c r="J20" s="77"/>
      <c r="O20" s="247"/>
    </row>
    <row r="21" spans="1:15" ht="15" customHeight="1">
      <c r="A21" s="243"/>
      <c r="B21" s="237" t="s">
        <v>1218</v>
      </c>
      <c r="C21" s="237" t="s">
        <v>559</v>
      </c>
      <c r="D21" s="244"/>
      <c r="J21" s="246"/>
      <c r="O21" s="247"/>
    </row>
    <row r="22" spans="1:15" ht="15" customHeight="1">
      <c r="A22" s="243"/>
      <c r="D22" s="237" t="s">
        <v>548</v>
      </c>
      <c r="E22" s="253" t="s">
        <v>123</v>
      </c>
      <c r="J22" s="252" t="s">
        <v>1229</v>
      </c>
      <c r="K22" s="249">
        <v>0.7</v>
      </c>
      <c r="L22" s="245" t="s">
        <v>1014</v>
      </c>
      <c r="O22" s="247"/>
    </row>
    <row r="23" spans="1:15" ht="15" customHeight="1">
      <c r="A23" s="243"/>
      <c r="D23" s="244" t="s">
        <v>549</v>
      </c>
      <c r="E23" s="249">
        <v>0.8</v>
      </c>
      <c r="G23" s="244" t="s">
        <v>1223</v>
      </c>
      <c r="H23" s="249">
        <v>0.55000000000000004</v>
      </c>
      <c r="J23" s="246" t="s">
        <v>550</v>
      </c>
      <c r="K23" s="249">
        <v>0.9</v>
      </c>
      <c r="L23" s="244"/>
      <c r="O23" s="247"/>
    </row>
    <row r="24" spans="1:15" ht="15" customHeight="1">
      <c r="A24" s="243"/>
      <c r="D24" s="244" t="s">
        <v>551</v>
      </c>
      <c r="H24" s="245">
        <v>21</v>
      </c>
      <c r="I24" s="237" t="s">
        <v>552</v>
      </c>
      <c r="J24" s="246"/>
      <c r="O24" s="247"/>
    </row>
    <row r="25" spans="1:15" ht="15" customHeight="1">
      <c r="A25" s="243"/>
      <c r="D25" s="1017" t="s">
        <v>553</v>
      </c>
      <c r="E25" s="1017"/>
      <c r="F25" s="1017"/>
      <c r="G25" s="1017"/>
      <c r="H25" s="245">
        <f>3600*K22*K23*E23*H23/H24</f>
        <v>47.52000000000001</v>
      </c>
      <c r="I25" s="237" t="s">
        <v>153</v>
      </c>
      <c r="J25" s="246"/>
      <c r="O25" s="247"/>
    </row>
    <row r="26" spans="1:15" ht="15" customHeight="1">
      <c r="A26" s="243"/>
      <c r="D26" s="244"/>
      <c r="J26" s="246"/>
      <c r="O26" s="247"/>
    </row>
    <row r="27" spans="1:15" ht="15" customHeight="1">
      <c r="A27" s="243"/>
      <c r="B27" s="237" t="s">
        <v>1218</v>
      </c>
      <c r="C27" s="250" t="s">
        <v>554</v>
      </c>
      <c r="J27" s="246"/>
      <c r="O27" s="247"/>
    </row>
    <row r="28" spans="1:15" ht="15" customHeight="1">
      <c r="A28" s="243"/>
      <c r="D28" s="237" t="s">
        <v>1220</v>
      </c>
      <c r="E28" s="248" t="s">
        <v>121</v>
      </c>
      <c r="G28" s="179" t="s">
        <v>1221</v>
      </c>
      <c r="H28" s="245">
        <v>20</v>
      </c>
      <c r="I28" s="237" t="s">
        <v>1019</v>
      </c>
      <c r="J28" s="252" t="s">
        <v>1229</v>
      </c>
      <c r="K28" s="253" t="s">
        <v>1230</v>
      </c>
      <c r="L28" s="237">
        <v>3.07</v>
      </c>
      <c r="M28" s="245" t="s">
        <v>1014</v>
      </c>
      <c r="O28" s="247"/>
    </row>
    <row r="29" spans="1:15" ht="15" customHeight="1">
      <c r="A29" s="243"/>
      <c r="D29" s="200" t="s">
        <v>549</v>
      </c>
      <c r="E29" s="249">
        <v>0.8</v>
      </c>
      <c r="G29" s="200" t="s">
        <v>1223</v>
      </c>
      <c r="H29" s="245">
        <v>0.65</v>
      </c>
      <c r="J29" s="246" t="s">
        <v>1232</v>
      </c>
      <c r="K29" s="255">
        <v>40</v>
      </c>
      <c r="L29" s="244" t="s">
        <v>1233</v>
      </c>
      <c r="M29" s="255">
        <v>46</v>
      </c>
      <c r="O29" s="247"/>
    </row>
    <row r="30" spans="1:15" ht="15" customHeight="1">
      <c r="A30" s="243"/>
      <c r="D30" s="1017" t="s">
        <v>546</v>
      </c>
      <c r="E30" s="1017"/>
      <c r="F30" s="1017"/>
      <c r="G30" s="1017"/>
      <c r="H30" s="245">
        <f>ROUND(((H28/K29)+(H28/M29)+0.25)/10*10,2)</f>
        <v>1.18</v>
      </c>
      <c r="I30" s="237" t="s">
        <v>1226</v>
      </c>
      <c r="J30" s="246"/>
      <c r="O30" s="247"/>
    </row>
    <row r="31" spans="1:15" ht="15" customHeight="1">
      <c r="A31" s="243"/>
      <c r="D31" s="1017" t="s">
        <v>547</v>
      </c>
      <c r="E31" s="1017"/>
      <c r="F31" s="1017"/>
      <c r="G31" s="1017"/>
      <c r="H31" s="245">
        <f>60*L28*E29*H29/H30</f>
        <v>81.172881355932205</v>
      </c>
      <c r="I31" s="237" t="s">
        <v>153</v>
      </c>
      <c r="J31" s="246"/>
      <c r="O31" s="247"/>
    </row>
    <row r="32" spans="1:15" ht="15" customHeight="1">
      <c r="A32" s="243"/>
      <c r="J32" s="246"/>
      <c r="O32" s="247"/>
    </row>
    <row r="33" spans="1:15" ht="15" customHeight="1">
      <c r="A33" s="263"/>
      <c r="B33" s="264" t="s">
        <v>1218</v>
      </c>
      <c r="C33" s="265" t="s">
        <v>555</v>
      </c>
      <c r="D33" s="264"/>
      <c r="E33" s="266"/>
      <c r="F33" s="264"/>
      <c r="G33" s="264"/>
      <c r="H33" s="266"/>
      <c r="I33" s="264"/>
      <c r="J33" s="267"/>
      <c r="K33" s="266"/>
      <c r="L33" s="264"/>
      <c r="M33" s="266"/>
      <c r="N33" s="264"/>
      <c r="O33" s="268"/>
    </row>
    <row r="34" spans="1:15" ht="15" customHeight="1">
      <c r="A34" s="270"/>
      <c r="B34" s="271"/>
      <c r="C34" s="271"/>
      <c r="D34" s="271" t="s">
        <v>1220</v>
      </c>
      <c r="E34" s="278" t="s">
        <v>121</v>
      </c>
      <c r="F34" s="271"/>
      <c r="G34" s="271" t="s">
        <v>1221</v>
      </c>
      <c r="H34" s="272">
        <v>20</v>
      </c>
      <c r="I34" s="271" t="s">
        <v>1019</v>
      </c>
      <c r="J34" s="276" t="s">
        <v>1229</v>
      </c>
      <c r="K34" s="279" t="s">
        <v>1230</v>
      </c>
      <c r="L34" s="271">
        <v>3.07</v>
      </c>
      <c r="M34" s="272" t="s">
        <v>1014</v>
      </c>
      <c r="N34" s="271"/>
      <c r="O34" s="242"/>
    </row>
    <row r="35" spans="1:15" ht="15" customHeight="1">
      <c r="A35" s="243"/>
      <c r="D35" s="244" t="s">
        <v>556</v>
      </c>
      <c r="E35" s="245">
        <v>0.85</v>
      </c>
      <c r="G35" s="244" t="s">
        <v>1223</v>
      </c>
      <c r="H35" s="245">
        <v>0.55000000000000004</v>
      </c>
      <c r="J35" s="246" t="s">
        <v>1232</v>
      </c>
      <c r="K35" s="249">
        <v>40</v>
      </c>
      <c r="L35" s="244" t="s">
        <v>1233</v>
      </c>
      <c r="M35" s="249">
        <v>46</v>
      </c>
      <c r="O35" s="247"/>
    </row>
    <row r="36" spans="1:15" ht="15" customHeight="1">
      <c r="A36" s="243"/>
      <c r="D36" s="1017" t="s">
        <v>546</v>
      </c>
      <c r="E36" s="1017"/>
      <c r="F36" s="1017"/>
      <c r="G36" s="1017"/>
      <c r="H36" s="245">
        <f>ROUND(((H34/K35)+(H34/M35)+0.25)/10*10,2)</f>
        <v>1.18</v>
      </c>
      <c r="I36" s="237" t="s">
        <v>1226</v>
      </c>
      <c r="J36" s="246"/>
      <c r="O36" s="247"/>
    </row>
    <row r="37" spans="1:15" ht="15" customHeight="1">
      <c r="A37" s="243"/>
      <c r="D37" s="1017" t="s">
        <v>547</v>
      </c>
      <c r="E37" s="1017"/>
      <c r="F37" s="1017"/>
      <c r="G37" s="1017"/>
      <c r="H37" s="245">
        <f>60*L34*E35*H35/H36</f>
        <v>72.977542372881359</v>
      </c>
      <c r="I37" s="237" t="s">
        <v>153</v>
      </c>
      <c r="J37" s="246"/>
      <c r="O37" s="247"/>
    </row>
    <row r="38" spans="1:15" ht="15" customHeight="1">
      <c r="A38" s="243"/>
      <c r="J38" s="246"/>
      <c r="O38" s="247"/>
    </row>
    <row r="39" spans="1:15" ht="15" customHeight="1">
      <c r="A39" s="243"/>
      <c r="B39" s="237" t="s">
        <v>1218</v>
      </c>
      <c r="C39" s="250" t="s">
        <v>557</v>
      </c>
      <c r="J39" s="246"/>
      <c r="O39" s="247"/>
    </row>
    <row r="40" spans="1:15" ht="15" customHeight="1">
      <c r="A40" s="243"/>
      <c r="D40" s="237" t="s">
        <v>1220</v>
      </c>
      <c r="E40" s="248" t="s">
        <v>121</v>
      </c>
      <c r="G40" s="179" t="s">
        <v>1221</v>
      </c>
      <c r="H40" s="245">
        <v>20</v>
      </c>
      <c r="I40" s="237" t="s">
        <v>1019</v>
      </c>
      <c r="J40" s="252" t="s">
        <v>1229</v>
      </c>
      <c r="K40" s="253" t="s">
        <v>1230</v>
      </c>
      <c r="L40" s="237">
        <v>3.07</v>
      </c>
      <c r="M40" s="245" t="s">
        <v>1014</v>
      </c>
      <c r="O40" s="247"/>
    </row>
    <row r="41" spans="1:15" ht="15" customHeight="1">
      <c r="A41" s="243"/>
      <c r="D41" s="244" t="s">
        <v>558</v>
      </c>
      <c r="E41" s="249">
        <v>0.7</v>
      </c>
      <c r="G41" s="200" t="s">
        <v>1223</v>
      </c>
      <c r="H41" s="245">
        <v>0.4</v>
      </c>
      <c r="J41" s="246" t="s">
        <v>1232</v>
      </c>
      <c r="K41" s="249">
        <v>40</v>
      </c>
      <c r="L41" s="244" t="s">
        <v>1233</v>
      </c>
      <c r="M41" s="249">
        <v>46</v>
      </c>
      <c r="O41" s="247"/>
    </row>
    <row r="42" spans="1:15" ht="15" customHeight="1">
      <c r="A42" s="243"/>
      <c r="D42" s="1017" t="s">
        <v>546</v>
      </c>
      <c r="E42" s="1017"/>
      <c r="F42" s="1017"/>
      <c r="G42" s="1017"/>
      <c r="H42" s="245">
        <f>ROUND(((H40/K41)+(H40/M41)+0.25)/10*10,2)</f>
        <v>1.18</v>
      </c>
      <c r="I42" s="237" t="s">
        <v>1226</v>
      </c>
      <c r="J42" s="246"/>
      <c r="O42" s="247"/>
    </row>
    <row r="43" spans="1:15" ht="15" customHeight="1">
      <c r="A43" s="243"/>
      <c r="D43" s="1017" t="s">
        <v>547</v>
      </c>
      <c r="E43" s="1017"/>
      <c r="F43" s="1017"/>
      <c r="G43" s="1017"/>
      <c r="H43" s="245">
        <f>60*L40*E41*H41/H42-0.005</f>
        <v>43.703474576271184</v>
      </c>
      <c r="I43" s="237" t="s">
        <v>153</v>
      </c>
      <c r="J43" s="246"/>
      <c r="O43" s="247"/>
    </row>
    <row r="44" spans="1:15" ht="15" customHeight="1">
      <c r="A44" s="243"/>
      <c r="D44" s="244"/>
      <c r="J44" s="246"/>
      <c r="O44" s="247"/>
    </row>
    <row r="45" spans="1:15" ht="15" customHeight="1">
      <c r="A45" s="243"/>
      <c r="B45" s="237" t="s">
        <v>1218</v>
      </c>
      <c r="C45" s="244" t="s">
        <v>554</v>
      </c>
      <c r="J45" s="246"/>
      <c r="O45" s="247"/>
    </row>
    <row r="46" spans="1:15" ht="15" customHeight="1">
      <c r="A46" s="243"/>
      <c r="D46" s="237" t="s">
        <v>548</v>
      </c>
      <c r="E46" s="253" t="s">
        <v>123</v>
      </c>
      <c r="J46" s="256" t="s">
        <v>1229</v>
      </c>
      <c r="K46" s="245">
        <v>0.7</v>
      </c>
      <c r="L46" s="245" t="s">
        <v>1014</v>
      </c>
      <c r="O46" s="247"/>
    </row>
    <row r="47" spans="1:15" ht="15" customHeight="1">
      <c r="A47" s="243"/>
      <c r="D47" s="244" t="s">
        <v>549</v>
      </c>
      <c r="E47" s="249">
        <v>0.8</v>
      </c>
      <c r="G47" s="244" t="s">
        <v>1223</v>
      </c>
      <c r="H47" s="249">
        <v>0.7</v>
      </c>
      <c r="J47" s="131" t="s">
        <v>550</v>
      </c>
      <c r="K47" s="245">
        <v>0.9</v>
      </c>
      <c r="L47" s="244"/>
      <c r="O47" s="247"/>
    </row>
    <row r="48" spans="1:15" ht="15" customHeight="1">
      <c r="A48" s="243"/>
      <c r="D48" s="1017" t="s">
        <v>551</v>
      </c>
      <c r="E48" s="1017"/>
      <c r="F48" s="1017"/>
      <c r="G48" s="1017"/>
      <c r="H48" s="245">
        <v>21</v>
      </c>
      <c r="I48" s="237" t="s">
        <v>1226</v>
      </c>
      <c r="J48" s="246"/>
      <c r="O48" s="247"/>
    </row>
    <row r="49" spans="1:15" ht="15" customHeight="1">
      <c r="A49" s="243"/>
      <c r="D49" s="1017" t="s">
        <v>553</v>
      </c>
      <c r="E49" s="1017"/>
      <c r="F49" s="1017"/>
      <c r="H49" s="245">
        <f>3600*K46*K47*E47*H47/H48</f>
        <v>60.48</v>
      </c>
      <c r="I49" s="237" t="s">
        <v>153</v>
      </c>
      <c r="J49" s="246"/>
      <c r="O49" s="247"/>
    </row>
    <row r="50" spans="1:15" ht="15" customHeight="1">
      <c r="A50" s="243"/>
      <c r="D50" s="244"/>
      <c r="J50" s="246"/>
      <c r="O50" s="247"/>
    </row>
    <row r="51" spans="1:15" ht="15" customHeight="1">
      <c r="A51" s="243"/>
      <c r="B51" s="237" t="s">
        <v>1218</v>
      </c>
      <c r="C51" s="244" t="s">
        <v>557</v>
      </c>
      <c r="J51" s="246"/>
      <c r="O51" s="247"/>
    </row>
    <row r="52" spans="1:15" ht="15" customHeight="1">
      <c r="A52" s="243"/>
      <c r="D52" s="237" t="s">
        <v>548</v>
      </c>
      <c r="E52" s="253" t="s">
        <v>123</v>
      </c>
      <c r="J52" s="252" t="s">
        <v>1229</v>
      </c>
      <c r="K52" s="245">
        <v>0.7</v>
      </c>
      <c r="L52" s="245" t="s">
        <v>1014</v>
      </c>
      <c r="O52" s="247"/>
    </row>
    <row r="53" spans="1:15" ht="15" customHeight="1">
      <c r="A53" s="243"/>
      <c r="D53" s="244" t="s">
        <v>558</v>
      </c>
      <c r="E53" s="245">
        <v>0.7</v>
      </c>
      <c r="G53" s="244" t="s">
        <v>1223</v>
      </c>
      <c r="H53" s="245">
        <v>0.45</v>
      </c>
      <c r="J53" s="246" t="s">
        <v>550</v>
      </c>
      <c r="K53" s="245">
        <v>0.55000000000000004</v>
      </c>
      <c r="L53" s="244"/>
      <c r="O53" s="247"/>
    </row>
    <row r="54" spans="1:15" ht="15" customHeight="1">
      <c r="A54" s="243"/>
      <c r="D54" s="1017" t="s">
        <v>551</v>
      </c>
      <c r="E54" s="1017"/>
      <c r="F54" s="1017"/>
      <c r="G54" s="1017"/>
      <c r="H54" s="245">
        <v>21</v>
      </c>
      <c r="I54" s="237" t="s">
        <v>552</v>
      </c>
      <c r="J54" s="246"/>
      <c r="O54" s="247"/>
    </row>
    <row r="55" spans="1:15" ht="15" customHeight="1">
      <c r="A55" s="243"/>
      <c r="D55" s="1017" t="s">
        <v>553</v>
      </c>
      <c r="E55" s="1017"/>
      <c r="F55" s="1017"/>
      <c r="H55" s="245">
        <f>3600*K52*K53*E53*H53/H54</f>
        <v>20.79</v>
      </c>
      <c r="I55" s="237" t="s">
        <v>153</v>
      </c>
      <c r="J55" s="246"/>
      <c r="O55" s="247"/>
    </row>
    <row r="56" spans="1:15" ht="15" customHeight="1">
      <c r="A56" s="243"/>
      <c r="D56" s="244"/>
      <c r="J56" s="246"/>
      <c r="O56" s="247"/>
    </row>
    <row r="57" spans="1:15" ht="15" customHeight="1">
      <c r="A57" s="243"/>
      <c r="B57" s="237" t="s">
        <v>1218</v>
      </c>
      <c r="C57" s="244" t="s">
        <v>555</v>
      </c>
      <c r="J57" s="246"/>
      <c r="O57" s="247"/>
    </row>
    <row r="58" spans="1:15" ht="15" customHeight="1">
      <c r="A58" s="243"/>
      <c r="D58" s="237" t="s">
        <v>548</v>
      </c>
      <c r="E58" s="253" t="s">
        <v>123</v>
      </c>
      <c r="J58" s="252" t="s">
        <v>1229</v>
      </c>
      <c r="K58" s="245">
        <v>0.7</v>
      </c>
      <c r="L58" s="245" t="s">
        <v>1014</v>
      </c>
      <c r="O58" s="247"/>
    </row>
    <row r="59" spans="1:15" ht="15" customHeight="1">
      <c r="A59" s="243"/>
      <c r="D59" s="244" t="s">
        <v>556</v>
      </c>
      <c r="E59" s="249">
        <v>0.85</v>
      </c>
      <c r="G59" s="244" t="s">
        <v>1223</v>
      </c>
      <c r="H59" s="249">
        <v>0.6</v>
      </c>
      <c r="J59" s="246" t="s">
        <v>550</v>
      </c>
      <c r="K59" s="245">
        <v>0.7</v>
      </c>
      <c r="L59" s="244"/>
      <c r="O59" s="247"/>
    </row>
    <row r="60" spans="1:15" ht="15" customHeight="1">
      <c r="A60" s="243"/>
      <c r="D60" s="1017" t="s">
        <v>551</v>
      </c>
      <c r="E60" s="1017"/>
      <c r="F60" s="1017"/>
      <c r="G60" s="1017"/>
      <c r="H60" s="245">
        <v>21</v>
      </c>
      <c r="I60" s="237" t="s">
        <v>552</v>
      </c>
      <c r="J60" s="246"/>
      <c r="O60" s="247"/>
    </row>
    <row r="61" spans="1:15" ht="15" customHeight="1">
      <c r="A61" s="243"/>
      <c r="D61" s="1017" t="s">
        <v>553</v>
      </c>
      <c r="E61" s="1017"/>
      <c r="F61" s="1017"/>
      <c r="G61" s="1017"/>
      <c r="H61" s="257">
        <f>3600*K58*K59*E59*H59/H60</f>
        <v>42.839999999999996</v>
      </c>
      <c r="I61" s="237" t="s">
        <v>153</v>
      </c>
      <c r="J61" s="246"/>
      <c r="O61" s="247"/>
    </row>
    <row r="62" spans="1:15" ht="15" customHeight="1">
      <c r="A62" s="243"/>
      <c r="D62" s="244"/>
      <c r="J62" s="246"/>
      <c r="O62" s="247"/>
    </row>
    <row r="63" spans="1:15" ht="15" customHeight="1">
      <c r="A63" s="243"/>
      <c r="B63" s="237" t="s">
        <v>1218</v>
      </c>
      <c r="C63" s="244" t="s">
        <v>560</v>
      </c>
      <c r="J63" s="246"/>
      <c r="O63" s="247"/>
    </row>
    <row r="64" spans="1:15" ht="15" customHeight="1">
      <c r="A64" s="243"/>
      <c r="D64" s="237" t="s">
        <v>548</v>
      </c>
      <c r="E64" s="253" t="s">
        <v>2298</v>
      </c>
      <c r="J64" s="252" t="s">
        <v>1229</v>
      </c>
      <c r="K64" s="245">
        <v>0.4</v>
      </c>
      <c r="L64" s="245" t="s">
        <v>1014</v>
      </c>
      <c r="O64" s="247"/>
    </row>
    <row r="65" spans="1:15" ht="15" customHeight="1">
      <c r="A65" s="243"/>
      <c r="D65" s="244" t="s">
        <v>549</v>
      </c>
      <c r="E65" s="249">
        <v>0.8</v>
      </c>
      <c r="G65" s="244" t="s">
        <v>1223</v>
      </c>
      <c r="H65" s="249">
        <v>0.7</v>
      </c>
      <c r="J65" s="246" t="s">
        <v>550</v>
      </c>
      <c r="K65" s="245">
        <v>0.9</v>
      </c>
      <c r="L65" s="244"/>
      <c r="O65" s="247"/>
    </row>
    <row r="66" spans="1:15" ht="15" customHeight="1">
      <c r="A66" s="243"/>
      <c r="D66" s="1017" t="s">
        <v>551</v>
      </c>
      <c r="E66" s="1017"/>
      <c r="F66" s="1017"/>
      <c r="G66" s="1017"/>
      <c r="H66" s="245">
        <v>18</v>
      </c>
      <c r="I66" s="237" t="s">
        <v>552</v>
      </c>
      <c r="J66" s="246"/>
      <c r="O66" s="247"/>
    </row>
    <row r="67" spans="1:15" ht="15" customHeight="1">
      <c r="A67" s="263"/>
      <c r="B67" s="264"/>
      <c r="C67" s="264"/>
      <c r="D67" s="1017" t="s">
        <v>553</v>
      </c>
      <c r="E67" s="1017"/>
      <c r="F67" s="1017"/>
      <c r="G67" s="264"/>
      <c r="H67" s="266">
        <f>3600*K64*K65*E65*H65/H66</f>
        <v>40.319999999999993</v>
      </c>
      <c r="I67" s="264" t="s">
        <v>153</v>
      </c>
      <c r="J67" s="267"/>
      <c r="K67" s="266"/>
      <c r="L67" s="264"/>
      <c r="M67" s="266"/>
      <c r="N67" s="264"/>
      <c r="O67" s="268"/>
    </row>
    <row r="68" spans="1:15" ht="15" customHeight="1">
      <c r="A68" s="270"/>
      <c r="B68" s="271"/>
      <c r="C68" s="271"/>
      <c r="D68" s="280"/>
      <c r="E68" s="280"/>
      <c r="F68" s="280"/>
      <c r="G68" s="271"/>
      <c r="H68" s="272"/>
      <c r="I68" s="271"/>
      <c r="J68" s="273"/>
      <c r="K68" s="272"/>
      <c r="L68" s="271"/>
      <c r="M68" s="272"/>
      <c r="N68" s="271"/>
      <c r="O68" s="242"/>
    </row>
    <row r="69" spans="1:15" ht="15" customHeight="1">
      <c r="A69" s="243"/>
      <c r="B69" s="237" t="s">
        <v>1218</v>
      </c>
      <c r="C69" s="244" t="s">
        <v>2299</v>
      </c>
      <c r="J69" s="246"/>
      <c r="O69" s="247"/>
    </row>
    <row r="70" spans="1:15" ht="15" customHeight="1">
      <c r="A70" s="243"/>
      <c r="D70" s="237" t="s">
        <v>548</v>
      </c>
      <c r="E70" s="253" t="s">
        <v>1317</v>
      </c>
      <c r="J70" s="256" t="s">
        <v>1229</v>
      </c>
      <c r="K70" s="245">
        <v>0.7</v>
      </c>
      <c r="L70" s="245" t="s">
        <v>1014</v>
      </c>
      <c r="O70" s="247"/>
    </row>
    <row r="71" spans="1:15" ht="15" customHeight="1">
      <c r="A71" s="243"/>
      <c r="D71" s="244" t="s">
        <v>2300</v>
      </c>
      <c r="E71" s="249">
        <v>0.8</v>
      </c>
      <c r="G71" s="200" t="s">
        <v>1223</v>
      </c>
      <c r="H71" s="249">
        <v>0.7</v>
      </c>
      <c r="J71" s="131" t="s">
        <v>550</v>
      </c>
      <c r="K71" s="245">
        <v>0.9</v>
      </c>
      <c r="L71" s="244"/>
      <c r="O71" s="247"/>
    </row>
    <row r="72" spans="1:15" ht="15" customHeight="1">
      <c r="A72" s="243"/>
      <c r="D72" s="1017" t="s">
        <v>551</v>
      </c>
      <c r="E72" s="1017"/>
      <c r="F72" s="1017"/>
      <c r="G72" s="1017"/>
      <c r="H72" s="245">
        <v>20</v>
      </c>
      <c r="I72" s="237" t="s">
        <v>552</v>
      </c>
      <c r="J72" s="246"/>
      <c r="O72" s="247"/>
    </row>
    <row r="73" spans="1:15" ht="15" customHeight="1">
      <c r="A73" s="243"/>
      <c r="D73" s="1017" t="s">
        <v>553</v>
      </c>
      <c r="E73" s="1017"/>
      <c r="F73" s="1017"/>
      <c r="G73" s="1017"/>
      <c r="H73" s="245">
        <f>3600*K70*K71*E71*H71/H72</f>
        <v>63.503999999999998</v>
      </c>
      <c r="I73" s="237" t="s">
        <v>153</v>
      </c>
      <c r="J73" s="246"/>
      <c r="O73" s="247"/>
    </row>
    <row r="74" spans="1:15" ht="15" customHeight="1">
      <c r="A74" s="243"/>
      <c r="B74" s="237" t="s">
        <v>1218</v>
      </c>
      <c r="C74" s="237" t="s">
        <v>1283</v>
      </c>
      <c r="D74" s="244"/>
      <c r="J74" s="246"/>
      <c r="O74" s="247"/>
    </row>
    <row r="75" spans="1:15" ht="15" customHeight="1">
      <c r="A75" s="243"/>
      <c r="D75" s="237" t="s">
        <v>548</v>
      </c>
      <c r="E75" s="253" t="s">
        <v>1317</v>
      </c>
      <c r="J75" s="252" t="s">
        <v>1229</v>
      </c>
      <c r="K75" s="245">
        <v>0.7</v>
      </c>
      <c r="L75" s="245" t="s">
        <v>1014</v>
      </c>
      <c r="O75" s="247"/>
    </row>
    <row r="76" spans="1:15" ht="15" customHeight="1">
      <c r="A76" s="243"/>
      <c r="D76" s="200" t="s">
        <v>558</v>
      </c>
      <c r="E76" s="249">
        <v>0.7</v>
      </c>
      <c r="G76" s="200" t="s">
        <v>1223</v>
      </c>
      <c r="H76" s="249">
        <v>0.4</v>
      </c>
      <c r="J76" s="246" t="s">
        <v>550</v>
      </c>
      <c r="K76" s="245">
        <v>0.55000000000000004</v>
      </c>
      <c r="L76" s="244"/>
      <c r="O76" s="247"/>
    </row>
    <row r="77" spans="1:15" ht="15" customHeight="1">
      <c r="A77" s="243"/>
      <c r="D77" s="1017" t="s">
        <v>551</v>
      </c>
      <c r="E77" s="1017"/>
      <c r="F77" s="1017"/>
      <c r="G77" s="1017"/>
      <c r="H77" s="245">
        <v>21</v>
      </c>
      <c r="I77" s="237" t="s">
        <v>552</v>
      </c>
      <c r="J77" s="246"/>
      <c r="O77" s="247"/>
    </row>
    <row r="78" spans="1:15" ht="15" customHeight="1">
      <c r="A78" s="243"/>
      <c r="D78" s="1017" t="s">
        <v>553</v>
      </c>
      <c r="E78" s="1017"/>
      <c r="F78" s="1017"/>
      <c r="G78" s="1017"/>
      <c r="H78" s="245">
        <f>3600*K75*K76*E76*H76/H77</f>
        <v>18.48</v>
      </c>
      <c r="I78" s="237" t="s">
        <v>153</v>
      </c>
      <c r="J78" s="246"/>
      <c r="O78" s="247"/>
    </row>
    <row r="79" spans="1:15" ht="15" customHeight="1">
      <c r="A79" s="243"/>
      <c r="D79" s="258"/>
      <c r="E79" s="258"/>
      <c r="F79" s="258"/>
      <c r="G79" s="258"/>
      <c r="J79" s="246"/>
      <c r="O79" s="247"/>
    </row>
    <row r="80" spans="1:15" ht="15" customHeight="1">
      <c r="A80" s="243"/>
      <c r="B80" s="237" t="s">
        <v>1218</v>
      </c>
      <c r="C80" s="250" t="s">
        <v>1191</v>
      </c>
      <c r="J80" s="246"/>
      <c r="O80" s="247"/>
    </row>
    <row r="81" spans="1:15" ht="15" customHeight="1">
      <c r="A81" s="243"/>
      <c r="D81" s="237" t="s">
        <v>1220</v>
      </c>
      <c r="E81" s="245" t="s">
        <v>1352</v>
      </c>
      <c r="G81" s="179" t="s">
        <v>1221</v>
      </c>
      <c r="H81" s="245">
        <v>20</v>
      </c>
      <c r="I81" s="237" t="s">
        <v>1019</v>
      </c>
      <c r="J81" s="252" t="s">
        <v>1229</v>
      </c>
      <c r="K81" s="253" t="s">
        <v>1230</v>
      </c>
      <c r="L81" s="237">
        <v>3.07</v>
      </c>
      <c r="M81" s="245" t="s">
        <v>1014</v>
      </c>
      <c r="O81" s="247"/>
    </row>
    <row r="82" spans="1:15" ht="15" customHeight="1">
      <c r="A82" s="243"/>
      <c r="D82" s="179" t="s">
        <v>1192</v>
      </c>
      <c r="E82" s="249">
        <v>0.72</v>
      </c>
      <c r="F82" s="234"/>
      <c r="G82" s="235" t="s">
        <v>1223</v>
      </c>
      <c r="H82" s="249">
        <v>0.65</v>
      </c>
      <c r="I82" s="179"/>
      <c r="J82" s="246" t="s">
        <v>1232</v>
      </c>
      <c r="K82" s="245">
        <v>40</v>
      </c>
      <c r="L82" s="245" t="s">
        <v>1233</v>
      </c>
      <c r="M82" s="245">
        <v>46</v>
      </c>
      <c r="O82" s="247"/>
    </row>
    <row r="83" spans="1:15" ht="15" customHeight="1">
      <c r="A83" s="243"/>
      <c r="D83" s="179" t="s">
        <v>546</v>
      </c>
      <c r="E83" s="249"/>
      <c r="H83" s="249">
        <f>ROUND(H81/K82+H81/M82+0.25,2)</f>
        <v>1.18</v>
      </c>
      <c r="I83" s="246" t="s">
        <v>1226</v>
      </c>
      <c r="J83" s="246"/>
      <c r="O83" s="247"/>
    </row>
    <row r="84" spans="1:15" ht="15" customHeight="1">
      <c r="A84" s="243"/>
      <c r="D84" s="1017" t="s">
        <v>547</v>
      </c>
      <c r="E84" s="1017"/>
      <c r="F84" s="1017"/>
      <c r="H84" s="245">
        <f>60*L81*E82*H82/H83</f>
        <v>73.055593220338992</v>
      </c>
      <c r="I84" s="179" t="s">
        <v>153</v>
      </c>
      <c r="J84" s="259"/>
      <c r="K84" s="237"/>
      <c r="L84" s="259"/>
      <c r="O84" s="247"/>
    </row>
    <row r="85" spans="1:15" ht="15" customHeight="1">
      <c r="A85" s="243"/>
      <c r="D85" s="179"/>
      <c r="E85" s="179"/>
      <c r="F85" s="179"/>
      <c r="I85" s="179"/>
      <c r="J85" s="259"/>
      <c r="K85" s="237"/>
      <c r="L85" s="259"/>
      <c r="O85" s="247"/>
    </row>
    <row r="86" spans="1:15" ht="15" customHeight="1">
      <c r="A86" s="243"/>
      <c r="B86" s="237" t="s">
        <v>1218</v>
      </c>
      <c r="C86" s="250" t="s">
        <v>1193</v>
      </c>
      <c r="D86" s="200"/>
      <c r="E86" s="200"/>
      <c r="F86" s="245"/>
      <c r="J86" s="246"/>
      <c r="O86" s="247"/>
    </row>
    <row r="87" spans="1:15" ht="15" customHeight="1">
      <c r="A87" s="243"/>
      <c r="D87" s="237" t="s">
        <v>1220</v>
      </c>
      <c r="E87" s="245" t="s">
        <v>1352</v>
      </c>
      <c r="G87" s="237" t="s">
        <v>1221</v>
      </c>
      <c r="H87" s="245">
        <v>20</v>
      </c>
      <c r="I87" s="237" t="s">
        <v>1019</v>
      </c>
      <c r="J87" s="252" t="s">
        <v>1229</v>
      </c>
      <c r="K87" s="253" t="s">
        <v>1230</v>
      </c>
      <c r="L87" s="237">
        <v>3.07</v>
      </c>
      <c r="M87" s="245" t="s">
        <v>1014</v>
      </c>
      <c r="O87" s="247"/>
    </row>
    <row r="88" spans="1:15" ht="15" customHeight="1">
      <c r="A88" s="243"/>
      <c r="D88" s="244" t="s">
        <v>1194</v>
      </c>
      <c r="E88" s="245">
        <v>0.8</v>
      </c>
      <c r="G88" s="244" t="s">
        <v>1223</v>
      </c>
      <c r="H88" s="245">
        <v>0.65</v>
      </c>
      <c r="J88" s="246" t="s">
        <v>1232</v>
      </c>
      <c r="K88" s="245">
        <v>40</v>
      </c>
      <c r="L88" s="244" t="s">
        <v>1233</v>
      </c>
      <c r="M88" s="245">
        <v>46</v>
      </c>
      <c r="O88" s="247"/>
    </row>
    <row r="89" spans="1:15" ht="15" customHeight="1">
      <c r="A89" s="243"/>
      <c r="D89" s="244" t="s">
        <v>546</v>
      </c>
      <c r="H89" s="245">
        <f>ROUND(H87/K88+H87/M88+0.25,2)</f>
        <v>1.18</v>
      </c>
      <c r="I89" s="237" t="s">
        <v>1226</v>
      </c>
      <c r="J89" s="246"/>
      <c r="O89" s="247"/>
    </row>
    <row r="90" spans="1:15" ht="15" customHeight="1">
      <c r="A90" s="243"/>
      <c r="D90" s="244" t="s">
        <v>547</v>
      </c>
      <c r="H90" s="245">
        <f>60*L87*E88*H88/H89</f>
        <v>81.172881355932205</v>
      </c>
      <c r="I90" s="237" t="s">
        <v>153</v>
      </c>
      <c r="J90" s="246"/>
      <c r="O90" s="247"/>
    </row>
    <row r="91" spans="1:15" ht="15" customHeight="1">
      <c r="A91" s="243"/>
      <c r="J91" s="246"/>
      <c r="O91" s="247"/>
    </row>
    <row r="92" spans="1:15" ht="15" customHeight="1">
      <c r="A92" s="243"/>
      <c r="B92" s="237" t="s">
        <v>1218</v>
      </c>
      <c r="C92" s="244" t="s">
        <v>2301</v>
      </c>
      <c r="J92" s="246"/>
      <c r="O92" s="247"/>
    </row>
    <row r="93" spans="1:15" ht="15" customHeight="1">
      <c r="A93" s="243"/>
      <c r="D93" s="237" t="s">
        <v>548</v>
      </c>
      <c r="E93" s="253" t="s">
        <v>2298</v>
      </c>
      <c r="J93" s="252" t="s">
        <v>1229</v>
      </c>
      <c r="K93" s="245">
        <v>0.4</v>
      </c>
      <c r="L93" s="245" t="s">
        <v>1014</v>
      </c>
      <c r="O93" s="247"/>
    </row>
    <row r="94" spans="1:15" ht="15" customHeight="1">
      <c r="A94" s="243"/>
      <c r="D94" s="244" t="s">
        <v>549</v>
      </c>
      <c r="E94" s="249">
        <v>0.8</v>
      </c>
      <c r="G94" s="244" t="s">
        <v>1223</v>
      </c>
      <c r="H94" s="249">
        <v>0.7</v>
      </c>
      <c r="J94" s="246" t="s">
        <v>550</v>
      </c>
      <c r="K94" s="245">
        <v>0.9</v>
      </c>
      <c r="L94" s="244"/>
      <c r="O94" s="247"/>
    </row>
    <row r="95" spans="1:15" ht="15" customHeight="1">
      <c r="A95" s="243"/>
      <c r="D95" s="1017" t="s">
        <v>551</v>
      </c>
      <c r="E95" s="1017"/>
      <c r="F95" s="1017"/>
      <c r="G95" s="1017"/>
      <c r="H95" s="245">
        <v>18</v>
      </c>
      <c r="I95" s="237" t="s">
        <v>552</v>
      </c>
      <c r="J95" s="246"/>
      <c r="O95" s="247"/>
    </row>
    <row r="96" spans="1:15" ht="15" customHeight="1">
      <c r="A96" s="243"/>
      <c r="D96" s="1017" t="s">
        <v>553</v>
      </c>
      <c r="E96" s="1017"/>
      <c r="F96" s="1017"/>
      <c r="H96" s="245">
        <f>3600*K93*K94*E94*H94/H95</f>
        <v>40.319999999999993</v>
      </c>
      <c r="I96" s="237" t="s">
        <v>153</v>
      </c>
      <c r="J96" s="246"/>
      <c r="O96" s="247"/>
    </row>
    <row r="97" spans="1:15" ht="15" customHeight="1">
      <c r="A97" s="243"/>
      <c r="J97" s="246"/>
      <c r="O97" s="247"/>
    </row>
    <row r="98" spans="1:15" ht="15" customHeight="1">
      <c r="A98" s="243"/>
      <c r="B98" s="237" t="s">
        <v>1218</v>
      </c>
      <c r="C98" s="244" t="s">
        <v>2301</v>
      </c>
      <c r="J98" s="246"/>
      <c r="O98" s="247"/>
    </row>
    <row r="99" spans="1:15" ht="15" customHeight="1">
      <c r="A99" s="243"/>
      <c r="D99" s="237" t="s">
        <v>548</v>
      </c>
      <c r="E99" s="253" t="s">
        <v>2302</v>
      </c>
      <c r="J99" s="252" t="s">
        <v>1229</v>
      </c>
      <c r="K99" s="245">
        <v>0.7</v>
      </c>
      <c r="L99" s="245" t="s">
        <v>1014</v>
      </c>
      <c r="O99" s="247"/>
    </row>
    <row r="100" spans="1:15" ht="15" customHeight="1">
      <c r="A100" s="243"/>
      <c r="D100" s="244" t="s">
        <v>549</v>
      </c>
      <c r="E100" s="249">
        <v>0.8</v>
      </c>
      <c r="G100" s="244" t="s">
        <v>1223</v>
      </c>
      <c r="H100" s="249">
        <v>0.7</v>
      </c>
      <c r="J100" s="246" t="s">
        <v>550</v>
      </c>
      <c r="K100" s="245">
        <v>0.9</v>
      </c>
      <c r="L100" s="244"/>
      <c r="O100" s="247"/>
    </row>
    <row r="101" spans="1:15" ht="15" customHeight="1">
      <c r="A101" s="243"/>
      <c r="D101" s="1017" t="s">
        <v>551</v>
      </c>
      <c r="E101" s="1017"/>
      <c r="F101" s="1017"/>
      <c r="G101" s="1017"/>
      <c r="H101" s="245">
        <v>20</v>
      </c>
      <c r="I101" s="237" t="s">
        <v>552</v>
      </c>
      <c r="J101" s="246"/>
      <c r="O101" s="247"/>
    </row>
    <row r="102" spans="1:15" ht="15" customHeight="1">
      <c r="A102" s="243"/>
      <c r="D102" s="1017" t="s">
        <v>553</v>
      </c>
      <c r="E102" s="1017"/>
      <c r="F102" s="1017"/>
      <c r="H102" s="245">
        <f>3600*K99*K100*E100*H100/H101</f>
        <v>63.503999999999998</v>
      </c>
      <c r="I102" s="237" t="s">
        <v>153</v>
      </c>
      <c r="J102" s="246"/>
      <c r="O102" s="247"/>
    </row>
    <row r="103" spans="1:15" ht="15" customHeight="1">
      <c r="A103" s="243"/>
      <c r="B103" s="237" t="s">
        <v>1218</v>
      </c>
      <c r="C103" s="250" t="s">
        <v>1242</v>
      </c>
      <c r="J103" s="246"/>
      <c r="O103" s="247"/>
    </row>
    <row r="104" spans="1:15" ht="15" customHeight="1">
      <c r="A104" s="243"/>
      <c r="D104" s="179" t="s">
        <v>548</v>
      </c>
      <c r="E104" s="245" t="s">
        <v>1317</v>
      </c>
      <c r="J104" s="252" t="s">
        <v>1229</v>
      </c>
      <c r="K104" s="245">
        <v>0.7</v>
      </c>
      <c r="L104" s="245" t="s">
        <v>1014</v>
      </c>
      <c r="O104" s="247"/>
    </row>
    <row r="105" spans="1:15" ht="15" customHeight="1">
      <c r="A105" s="243"/>
      <c r="D105" s="244" t="s">
        <v>549</v>
      </c>
      <c r="E105" s="249">
        <v>0.8</v>
      </c>
      <c r="G105" s="244" t="s">
        <v>1223</v>
      </c>
      <c r="H105" s="249">
        <v>0.75</v>
      </c>
      <c r="J105" s="246" t="s">
        <v>550</v>
      </c>
      <c r="K105" s="245">
        <v>1.1000000000000001</v>
      </c>
      <c r="L105" s="244"/>
      <c r="O105" s="247"/>
    </row>
    <row r="106" spans="1:15" ht="15" customHeight="1">
      <c r="A106" s="263"/>
      <c r="B106" s="264"/>
      <c r="C106" s="264"/>
      <c r="D106" s="274" t="s">
        <v>551</v>
      </c>
      <c r="E106" s="266"/>
      <c r="F106" s="264"/>
      <c r="G106" s="264"/>
      <c r="H106" s="266">
        <v>21</v>
      </c>
      <c r="I106" s="264" t="s">
        <v>552</v>
      </c>
      <c r="J106" s="267"/>
      <c r="K106" s="266"/>
      <c r="L106" s="264"/>
      <c r="M106" s="266"/>
      <c r="N106" s="264"/>
      <c r="O106" s="268"/>
    </row>
    <row r="107" spans="1:15" ht="15" customHeight="1">
      <c r="A107" s="270"/>
      <c r="B107" s="271"/>
      <c r="C107" s="271"/>
      <c r="D107" s="277" t="s">
        <v>553</v>
      </c>
      <c r="E107" s="272"/>
      <c r="F107" s="271"/>
      <c r="G107" s="271"/>
      <c r="H107" s="272">
        <f>3600*K104*K105*E105*H105/H106</f>
        <v>79.199999999999989</v>
      </c>
      <c r="I107" s="271" t="s">
        <v>153</v>
      </c>
      <c r="J107" s="273"/>
      <c r="K107" s="272"/>
      <c r="L107" s="271"/>
      <c r="M107" s="272"/>
      <c r="N107" s="271"/>
      <c r="O107" s="242"/>
    </row>
    <row r="108" spans="1:15" ht="15" customHeight="1">
      <c r="A108" s="243"/>
      <c r="D108" s="244"/>
      <c r="J108" s="246"/>
      <c r="O108" s="247"/>
    </row>
    <row r="109" spans="1:15" ht="15" customHeight="1">
      <c r="A109" s="243"/>
      <c r="B109" s="237" t="s">
        <v>1218</v>
      </c>
      <c r="C109" s="250" t="s">
        <v>124</v>
      </c>
      <c r="J109" s="246"/>
      <c r="O109" s="247"/>
    </row>
    <row r="110" spans="1:15" ht="15" customHeight="1">
      <c r="A110" s="243"/>
      <c r="D110" s="237" t="s">
        <v>548</v>
      </c>
      <c r="E110" s="253" t="s">
        <v>123</v>
      </c>
      <c r="J110" s="252" t="s">
        <v>1229</v>
      </c>
      <c r="K110" s="245">
        <v>0.7</v>
      </c>
      <c r="L110" s="245" t="s">
        <v>1014</v>
      </c>
      <c r="O110" s="247"/>
    </row>
    <row r="111" spans="1:15" ht="15" customHeight="1">
      <c r="A111" s="243"/>
      <c r="D111" s="244" t="s">
        <v>125</v>
      </c>
      <c r="E111" s="245">
        <v>0.77</v>
      </c>
      <c r="G111" s="200" t="s">
        <v>1223</v>
      </c>
      <c r="H111" s="249">
        <v>0.45</v>
      </c>
      <c r="J111" s="246" t="s">
        <v>550</v>
      </c>
      <c r="K111" s="245">
        <v>0.55000000000000004</v>
      </c>
      <c r="L111" s="244"/>
      <c r="O111" s="247"/>
    </row>
    <row r="112" spans="1:15" ht="15" customHeight="1">
      <c r="A112" s="243"/>
      <c r="D112" s="1017" t="s">
        <v>551</v>
      </c>
      <c r="E112" s="1017"/>
      <c r="F112" s="1017"/>
      <c r="G112" s="1017"/>
      <c r="H112" s="245">
        <v>19</v>
      </c>
      <c r="I112" s="237" t="s">
        <v>552</v>
      </c>
      <c r="J112" s="246"/>
      <c r="O112" s="247"/>
    </row>
    <row r="113" spans="1:15" ht="15" customHeight="1">
      <c r="A113" s="243"/>
      <c r="D113" s="1017" t="s">
        <v>553</v>
      </c>
      <c r="E113" s="1017"/>
      <c r="F113" s="1017"/>
      <c r="H113" s="245">
        <f>ROUND(3600*K110*K111*E111*H111/H112,2)</f>
        <v>25.28</v>
      </c>
      <c r="I113" s="237" t="s">
        <v>153</v>
      </c>
      <c r="J113" s="246"/>
      <c r="O113" s="247"/>
    </row>
    <row r="114" spans="1:15" ht="15" customHeight="1">
      <c r="A114" s="243"/>
      <c r="D114" s="200"/>
      <c r="E114" s="200"/>
      <c r="F114" s="245"/>
      <c r="J114" s="246"/>
      <c r="O114" s="247"/>
    </row>
    <row r="115" spans="1:15" ht="15" customHeight="1">
      <c r="A115" s="243"/>
      <c r="B115" s="237" t="s">
        <v>1218</v>
      </c>
      <c r="C115" s="250" t="s">
        <v>126</v>
      </c>
      <c r="J115" s="246"/>
      <c r="O115" s="247"/>
    </row>
    <row r="116" spans="1:15" ht="15" customHeight="1">
      <c r="A116" s="243"/>
      <c r="D116" s="237" t="s">
        <v>127</v>
      </c>
      <c r="F116" s="179" t="s">
        <v>1221</v>
      </c>
      <c r="G116" s="245">
        <v>0.12</v>
      </c>
      <c r="H116" s="245" t="s">
        <v>563</v>
      </c>
      <c r="I116" s="1017" t="s">
        <v>564</v>
      </c>
      <c r="J116" s="1017"/>
      <c r="K116" s="249">
        <f>ROUND(((K117*E117)/G117)/10*10,2)</f>
        <v>8.52</v>
      </c>
      <c r="O116" s="247"/>
    </row>
    <row r="117" spans="1:15" ht="15" customHeight="1">
      <c r="A117" s="243"/>
      <c r="D117" s="244" t="s">
        <v>565</v>
      </c>
      <c r="E117" s="245">
        <v>1.25</v>
      </c>
      <c r="F117" s="237" t="s">
        <v>566</v>
      </c>
      <c r="G117" s="248">
        <v>2200</v>
      </c>
      <c r="H117" s="245" t="s">
        <v>567</v>
      </c>
      <c r="J117" s="246" t="s">
        <v>568</v>
      </c>
      <c r="K117" s="245">
        <v>15000</v>
      </c>
      <c r="L117" s="237" t="s">
        <v>613</v>
      </c>
      <c r="O117" s="247"/>
    </row>
    <row r="118" spans="1:15" ht="15" customHeight="1">
      <c r="A118" s="243"/>
      <c r="D118" s="237" t="s">
        <v>569</v>
      </c>
      <c r="E118" s="249">
        <v>0.9</v>
      </c>
      <c r="F118" s="234" t="s">
        <v>128</v>
      </c>
      <c r="G118" s="235"/>
      <c r="H118" s="249">
        <v>0.74</v>
      </c>
      <c r="I118" s="179" t="s">
        <v>570</v>
      </c>
      <c r="J118" s="246" t="s">
        <v>571</v>
      </c>
      <c r="L118" s="245">
        <f>ROUND((K116/(K110*K111))/10*10,2)</f>
        <v>22.13</v>
      </c>
      <c r="M118" s="245" t="s">
        <v>485</v>
      </c>
      <c r="O118" s="247"/>
    </row>
    <row r="119" spans="1:15" ht="15" customHeight="1">
      <c r="A119" s="243"/>
      <c r="D119" s="179" t="s">
        <v>1232</v>
      </c>
      <c r="E119" s="249">
        <v>20</v>
      </c>
      <c r="G119" s="237" t="s">
        <v>1233</v>
      </c>
      <c r="H119" s="249">
        <v>20</v>
      </c>
      <c r="I119" s="1017" t="s">
        <v>572</v>
      </c>
      <c r="J119" s="1017"/>
      <c r="K119" s="1017"/>
      <c r="L119" s="237">
        <f>ROUND(((H112*L118)/(60*H111))/10*10,2)</f>
        <v>15.57</v>
      </c>
      <c r="M119" s="245" t="s">
        <v>1226</v>
      </c>
      <c r="O119" s="247"/>
    </row>
    <row r="120" spans="1:15" ht="15" customHeight="1">
      <c r="A120" s="243"/>
      <c r="D120" s="1017" t="s">
        <v>573</v>
      </c>
      <c r="E120" s="1017"/>
      <c r="F120" s="1017"/>
      <c r="G120" s="237">
        <f>ROUND((((G116/E119)+(G116/H119))*60)/10*10,2)</f>
        <v>0.72</v>
      </c>
      <c r="H120" s="245" t="s">
        <v>1226</v>
      </c>
      <c r="I120" s="179" t="s">
        <v>574</v>
      </c>
      <c r="J120" s="259">
        <v>0.8</v>
      </c>
      <c r="K120" s="237" t="s">
        <v>129</v>
      </c>
      <c r="L120" s="259">
        <v>0</v>
      </c>
      <c r="O120" s="247"/>
    </row>
    <row r="121" spans="1:15" ht="15" customHeight="1">
      <c r="A121" s="243"/>
      <c r="D121" s="200" t="s">
        <v>575</v>
      </c>
      <c r="E121" s="259">
        <v>0.42</v>
      </c>
      <c r="F121" s="237" t="s">
        <v>1226</v>
      </c>
      <c r="H121" s="253" t="s">
        <v>130</v>
      </c>
      <c r="J121" s="259">
        <f>L119+G120+J120+E121</f>
        <v>17.510000000000002</v>
      </c>
      <c r="O121" s="247"/>
    </row>
    <row r="122" spans="1:15" ht="15" customHeight="1">
      <c r="A122" s="243"/>
      <c r="D122" s="1017" t="s">
        <v>576</v>
      </c>
      <c r="E122" s="1017"/>
      <c r="F122" s="245">
        <f>ROUND(60*K116*E118*H118/J121,2)</f>
        <v>19.440000000000001</v>
      </c>
      <c r="G122" s="237" t="s">
        <v>153</v>
      </c>
      <c r="J122" s="246"/>
      <c r="O122" s="247"/>
    </row>
    <row r="123" spans="1:15" ht="15" customHeight="1">
      <c r="A123" s="243"/>
      <c r="D123" s="200"/>
      <c r="E123" s="200"/>
      <c r="F123" s="245"/>
      <c r="J123" s="246"/>
      <c r="O123" s="247"/>
    </row>
    <row r="124" spans="1:15" ht="15" customHeight="1">
      <c r="A124" s="243"/>
      <c r="B124" s="237" t="s">
        <v>1218</v>
      </c>
      <c r="C124" s="250" t="s">
        <v>561</v>
      </c>
      <c r="J124" s="246"/>
      <c r="O124" s="247"/>
    </row>
    <row r="125" spans="1:15" ht="15" customHeight="1">
      <c r="A125" s="243"/>
      <c r="D125" s="237" t="s">
        <v>548</v>
      </c>
      <c r="E125" s="253" t="s">
        <v>123</v>
      </c>
      <c r="J125" s="252" t="s">
        <v>1229</v>
      </c>
      <c r="K125" s="245">
        <v>0.7</v>
      </c>
      <c r="L125" s="245" t="s">
        <v>1014</v>
      </c>
      <c r="O125" s="247"/>
    </row>
    <row r="126" spans="1:15" ht="15" customHeight="1">
      <c r="A126" s="243"/>
      <c r="D126" s="244" t="s">
        <v>562</v>
      </c>
      <c r="E126" s="245">
        <v>0.72</v>
      </c>
      <c r="G126" s="200" t="s">
        <v>1223</v>
      </c>
      <c r="H126" s="249">
        <v>0.9</v>
      </c>
      <c r="J126" s="246" t="s">
        <v>550</v>
      </c>
      <c r="K126" s="245">
        <v>1.1000000000000001</v>
      </c>
      <c r="L126" s="244"/>
      <c r="O126" s="247"/>
    </row>
    <row r="127" spans="1:15" ht="15" customHeight="1">
      <c r="A127" s="243"/>
      <c r="D127" s="1017" t="s">
        <v>551</v>
      </c>
      <c r="E127" s="1017"/>
      <c r="F127" s="1017"/>
      <c r="G127" s="1017"/>
      <c r="H127" s="245">
        <v>19</v>
      </c>
      <c r="I127" s="237" t="s">
        <v>552</v>
      </c>
      <c r="J127" s="246"/>
      <c r="O127" s="247"/>
    </row>
    <row r="128" spans="1:15" ht="15" customHeight="1">
      <c r="A128" s="243"/>
      <c r="D128" s="1017" t="s">
        <v>553</v>
      </c>
      <c r="E128" s="1017"/>
      <c r="F128" s="1017"/>
      <c r="H128" s="245">
        <f>ROUND(3600*K125*K126*E126*H126/H127,2)</f>
        <v>94.54</v>
      </c>
      <c r="I128" s="237" t="s">
        <v>153</v>
      </c>
      <c r="J128" s="246"/>
      <c r="O128" s="247"/>
    </row>
    <row r="129" spans="1:15" ht="15" customHeight="1">
      <c r="A129" s="243"/>
      <c r="D129" s="200"/>
      <c r="E129" s="200"/>
      <c r="F129" s="200"/>
      <c r="J129" s="246"/>
      <c r="O129" s="247"/>
    </row>
    <row r="130" spans="1:15" ht="15" customHeight="1">
      <c r="A130" s="243"/>
      <c r="B130" s="237" t="s">
        <v>1218</v>
      </c>
      <c r="C130" s="250" t="s">
        <v>131</v>
      </c>
      <c r="J130" s="246"/>
      <c r="O130" s="247"/>
    </row>
    <row r="131" spans="1:15" ht="15" customHeight="1">
      <c r="A131" s="243"/>
      <c r="D131" s="237" t="s">
        <v>1220</v>
      </c>
      <c r="E131" s="245" t="s">
        <v>121</v>
      </c>
      <c r="G131" s="237" t="s">
        <v>1221</v>
      </c>
      <c r="H131" s="245">
        <v>34</v>
      </c>
      <c r="I131" s="237" t="s">
        <v>1019</v>
      </c>
      <c r="J131" s="252" t="s">
        <v>1229</v>
      </c>
      <c r="K131" s="237">
        <f>ROUND(3.2*(1-(H131-10)*0.004),2)</f>
        <v>2.89</v>
      </c>
      <c r="L131" s="245" t="s">
        <v>1014</v>
      </c>
      <c r="M131" s="237"/>
      <c r="O131" s="247"/>
    </row>
    <row r="132" spans="1:15" ht="15" customHeight="1">
      <c r="A132" s="243"/>
      <c r="D132" s="244" t="s">
        <v>1192</v>
      </c>
      <c r="E132" s="245">
        <v>0.72</v>
      </c>
      <c r="G132" s="244" t="s">
        <v>1223</v>
      </c>
      <c r="H132" s="245">
        <v>0.85</v>
      </c>
      <c r="J132" s="246" t="s">
        <v>1232</v>
      </c>
      <c r="K132" s="245">
        <v>55</v>
      </c>
      <c r="L132" s="244" t="s">
        <v>1233</v>
      </c>
      <c r="M132" s="245">
        <v>70</v>
      </c>
      <c r="O132" s="247"/>
    </row>
    <row r="133" spans="1:15" ht="15" customHeight="1">
      <c r="A133" s="243"/>
      <c r="D133" s="244" t="s">
        <v>546</v>
      </c>
      <c r="H133" s="245">
        <f>ROUND(((H131/K132)+(H131/M132)+0.25)/10*10,2)</f>
        <v>1.35</v>
      </c>
      <c r="I133" s="237" t="s">
        <v>1226</v>
      </c>
      <c r="J133" s="246"/>
      <c r="O133" s="247"/>
    </row>
    <row r="134" spans="1:15" ht="15" customHeight="1">
      <c r="A134" s="243"/>
      <c r="D134" s="244" t="s">
        <v>547</v>
      </c>
      <c r="H134" s="245">
        <f>ROUND(60*K131*E132*H132/H133,2)</f>
        <v>78.61</v>
      </c>
      <c r="I134" s="237" t="s">
        <v>153</v>
      </c>
      <c r="J134" s="246"/>
      <c r="O134" s="247"/>
    </row>
    <row r="135" spans="1:15" ht="15" customHeight="1">
      <c r="A135" s="243"/>
      <c r="J135" s="246"/>
      <c r="O135" s="247"/>
    </row>
    <row r="136" spans="1:15" ht="15" customHeight="1">
      <c r="A136" s="243"/>
      <c r="D136" s="200"/>
      <c r="E136" s="200"/>
      <c r="F136" s="200"/>
      <c r="J136" s="246"/>
      <c r="O136" s="247"/>
    </row>
    <row r="137" spans="1:15" ht="15" customHeight="1">
      <c r="A137" s="243"/>
      <c r="B137" s="237" t="s">
        <v>1218</v>
      </c>
      <c r="C137" s="250" t="s">
        <v>131</v>
      </c>
      <c r="J137" s="246"/>
      <c r="O137" s="247"/>
    </row>
    <row r="138" spans="1:15" ht="15" customHeight="1">
      <c r="A138" s="243"/>
      <c r="D138" s="237" t="s">
        <v>127</v>
      </c>
      <c r="F138" s="179" t="s">
        <v>1221</v>
      </c>
      <c r="G138" s="245">
        <v>0.12</v>
      </c>
      <c r="H138" s="245" t="s">
        <v>563</v>
      </c>
      <c r="I138" s="1017" t="s">
        <v>564</v>
      </c>
      <c r="J138" s="1017"/>
      <c r="K138" s="249">
        <f>ROUND(((K139*E139)/G139)/10*10,2)</f>
        <v>10.42</v>
      </c>
      <c r="O138" s="247"/>
    </row>
    <row r="139" spans="1:15" ht="15" customHeight="1">
      <c r="A139" s="243"/>
      <c r="D139" s="244" t="s">
        <v>565</v>
      </c>
      <c r="E139" s="245">
        <v>1.25</v>
      </c>
      <c r="F139" s="237" t="s">
        <v>566</v>
      </c>
      <c r="G139" s="248">
        <v>1800</v>
      </c>
      <c r="H139" s="245" t="s">
        <v>567</v>
      </c>
      <c r="J139" s="246" t="s">
        <v>568</v>
      </c>
      <c r="K139" s="245">
        <v>15000</v>
      </c>
      <c r="L139" s="237" t="s">
        <v>613</v>
      </c>
      <c r="O139" s="247"/>
    </row>
    <row r="140" spans="1:15" ht="15" customHeight="1">
      <c r="A140" s="263"/>
      <c r="B140" s="264"/>
      <c r="C140" s="264"/>
      <c r="D140" s="264" t="s">
        <v>569</v>
      </c>
      <c r="E140" s="275">
        <v>0.9</v>
      </c>
      <c r="F140" s="281" t="s">
        <v>128</v>
      </c>
      <c r="G140" s="282"/>
      <c r="H140" s="275">
        <v>0.74</v>
      </c>
      <c r="I140" s="283" t="s">
        <v>570</v>
      </c>
      <c r="J140" s="267" t="s">
        <v>571</v>
      </c>
      <c r="K140" s="266"/>
      <c r="L140" s="266">
        <f>ROUND((K138/(K125*K126))/10*10,2)</f>
        <v>13.53</v>
      </c>
      <c r="M140" s="266" t="s">
        <v>485</v>
      </c>
      <c r="N140" s="264"/>
      <c r="O140" s="268"/>
    </row>
    <row r="141" spans="1:15" ht="15" customHeight="1">
      <c r="A141" s="270"/>
      <c r="B141" s="271"/>
      <c r="C141" s="271"/>
      <c r="D141" s="156" t="s">
        <v>1232</v>
      </c>
      <c r="E141" s="284">
        <v>20</v>
      </c>
      <c r="F141" s="271"/>
      <c r="G141" s="271" t="s">
        <v>1233</v>
      </c>
      <c r="H141" s="284">
        <v>20</v>
      </c>
      <c r="I141" s="1017" t="s">
        <v>572</v>
      </c>
      <c r="J141" s="1017"/>
      <c r="K141" s="1017"/>
      <c r="L141" s="271">
        <f>ROUND(((H127*L140)/(60*H126))/10*10,2)</f>
        <v>4.76</v>
      </c>
      <c r="M141" s="272" t="s">
        <v>1226</v>
      </c>
      <c r="N141" s="271"/>
      <c r="O141" s="242"/>
    </row>
    <row r="142" spans="1:15" ht="15" customHeight="1">
      <c r="A142" s="243"/>
      <c r="D142" s="1017" t="s">
        <v>573</v>
      </c>
      <c r="E142" s="1017"/>
      <c r="F142" s="1017"/>
      <c r="G142" s="237">
        <f>ROUND((((G138/E141)+(G138/H141))*60)/10*10,2)</f>
        <v>0.72</v>
      </c>
      <c r="H142" s="245" t="s">
        <v>1226</v>
      </c>
      <c r="I142" s="179" t="s">
        <v>574</v>
      </c>
      <c r="J142" s="259">
        <v>0.8</v>
      </c>
      <c r="K142" s="237" t="s">
        <v>129</v>
      </c>
      <c r="L142" s="259">
        <v>0</v>
      </c>
      <c r="O142" s="247"/>
    </row>
    <row r="143" spans="1:15" ht="15" customHeight="1">
      <c r="A143" s="243"/>
      <c r="D143" s="200" t="s">
        <v>575</v>
      </c>
      <c r="E143" s="259">
        <v>0.42</v>
      </c>
      <c r="F143" s="237" t="s">
        <v>1226</v>
      </c>
      <c r="H143" s="253" t="s">
        <v>130</v>
      </c>
      <c r="J143" s="259">
        <f>L141+G142+J142+E143</f>
        <v>6.6999999999999993</v>
      </c>
      <c r="O143" s="247"/>
    </row>
    <row r="144" spans="1:15" ht="15" customHeight="1">
      <c r="A144" s="243"/>
      <c r="D144" s="1017" t="s">
        <v>576</v>
      </c>
      <c r="E144" s="1017"/>
      <c r="F144" s="245">
        <f>ROUND(60*K138*E140*H140/J143,2)</f>
        <v>62.15</v>
      </c>
      <c r="G144" s="237" t="s">
        <v>153</v>
      </c>
      <c r="J144" s="246"/>
      <c r="O144" s="247"/>
    </row>
    <row r="145" spans="1:15" ht="15" customHeight="1">
      <c r="A145" s="243"/>
      <c r="D145" s="200"/>
      <c r="E145" s="200"/>
      <c r="F145" s="245"/>
      <c r="J145" s="246"/>
      <c r="O145" s="247"/>
    </row>
    <row r="146" spans="1:15" ht="15" customHeight="1">
      <c r="A146" s="243"/>
      <c r="B146" s="237" t="s">
        <v>1218</v>
      </c>
      <c r="C146" s="250" t="s">
        <v>132</v>
      </c>
      <c r="D146" s="244"/>
      <c r="J146" s="246"/>
      <c r="O146" s="247"/>
    </row>
    <row r="147" spans="1:15" ht="15" customHeight="1">
      <c r="A147" s="243"/>
      <c r="D147" s="237" t="s">
        <v>1220</v>
      </c>
      <c r="E147" s="245" t="s">
        <v>121</v>
      </c>
      <c r="G147" s="237" t="s">
        <v>1221</v>
      </c>
      <c r="H147" s="245">
        <v>34</v>
      </c>
      <c r="I147" s="237" t="s">
        <v>1019</v>
      </c>
      <c r="J147" s="252" t="s">
        <v>1229</v>
      </c>
      <c r="K147" s="237">
        <f>ROUND(3.2*(1-(H147-10)*0.004),3)</f>
        <v>2.8929999999999998</v>
      </c>
      <c r="L147" s="245" t="s">
        <v>1014</v>
      </c>
      <c r="O147" s="247"/>
    </row>
    <row r="148" spans="1:15" ht="15" customHeight="1">
      <c r="A148" s="243"/>
      <c r="D148" s="244" t="s">
        <v>133</v>
      </c>
      <c r="E148" s="245">
        <v>0.81</v>
      </c>
      <c r="G148" s="244" t="s">
        <v>1223</v>
      </c>
      <c r="H148" s="245">
        <v>0.75</v>
      </c>
      <c r="J148" s="246" t="s">
        <v>1232</v>
      </c>
      <c r="K148" s="245">
        <v>55</v>
      </c>
      <c r="L148" s="244" t="s">
        <v>1233</v>
      </c>
      <c r="M148" s="245">
        <v>70</v>
      </c>
      <c r="O148" s="247"/>
    </row>
    <row r="149" spans="1:15" ht="15" customHeight="1">
      <c r="A149" s="243"/>
      <c r="D149" s="244" t="s">
        <v>546</v>
      </c>
      <c r="H149" s="245">
        <f>ROUND(((H147/K148)+(H147/M148)+0.25)/10*10,2)</f>
        <v>1.35</v>
      </c>
      <c r="I149" s="237" t="s">
        <v>1226</v>
      </c>
      <c r="J149" s="246"/>
      <c r="O149" s="247"/>
    </row>
    <row r="150" spans="1:15" ht="15" customHeight="1">
      <c r="A150" s="243"/>
      <c r="D150" s="244" t="s">
        <v>547</v>
      </c>
      <c r="H150" s="245">
        <f>ROUND(60*K147*E148*H148/H149,2)</f>
        <v>78.11</v>
      </c>
      <c r="I150" s="237" t="s">
        <v>153</v>
      </c>
      <c r="J150" s="246"/>
      <c r="O150" s="247"/>
    </row>
    <row r="151" spans="1:15" ht="15" customHeight="1">
      <c r="A151" s="243"/>
      <c r="J151" s="246"/>
      <c r="O151" s="247"/>
    </row>
    <row r="152" spans="1:15" ht="15" customHeight="1">
      <c r="A152" s="243"/>
      <c r="B152" s="237" t="s">
        <v>1218</v>
      </c>
      <c r="C152" s="250" t="s">
        <v>2007</v>
      </c>
      <c r="J152" s="246"/>
      <c r="O152" s="247"/>
    </row>
    <row r="153" spans="1:15" ht="15" customHeight="1">
      <c r="A153" s="243"/>
      <c r="D153" s="237" t="s">
        <v>548</v>
      </c>
      <c r="E153" s="253" t="s">
        <v>1997</v>
      </c>
      <c r="J153" s="252" t="s">
        <v>1229</v>
      </c>
      <c r="K153" s="245">
        <v>1</v>
      </c>
      <c r="L153" s="245" t="s">
        <v>1014</v>
      </c>
      <c r="O153" s="247"/>
    </row>
    <row r="154" spans="1:15" ht="15" customHeight="1">
      <c r="A154" s="243"/>
      <c r="D154" s="244" t="s">
        <v>134</v>
      </c>
      <c r="E154" s="249">
        <v>0.67</v>
      </c>
      <c r="G154" s="244" t="s">
        <v>1223</v>
      </c>
      <c r="H154" s="249">
        <v>0.45</v>
      </c>
      <c r="J154" s="246" t="s">
        <v>550</v>
      </c>
      <c r="K154" s="245">
        <v>0.55000000000000004</v>
      </c>
      <c r="L154" s="244"/>
      <c r="O154" s="247"/>
    </row>
    <row r="155" spans="1:15" ht="15" customHeight="1">
      <c r="A155" s="243"/>
      <c r="D155" s="1017" t="s">
        <v>551</v>
      </c>
      <c r="E155" s="1017"/>
      <c r="F155" s="1017"/>
      <c r="G155" s="1017"/>
      <c r="H155" s="248">
        <v>19</v>
      </c>
      <c r="I155" s="237" t="s">
        <v>552</v>
      </c>
      <c r="J155" s="246" t="s">
        <v>1998</v>
      </c>
      <c r="K155" s="245">
        <v>2.4</v>
      </c>
      <c r="L155" s="237" t="s">
        <v>1924</v>
      </c>
      <c r="O155" s="247"/>
    </row>
    <row r="156" spans="1:15" ht="15" customHeight="1">
      <c r="A156" s="243"/>
      <c r="D156" s="1017" t="s">
        <v>1999</v>
      </c>
      <c r="E156" s="1017"/>
      <c r="F156" s="1017"/>
      <c r="G156" s="1017"/>
      <c r="H156" s="245">
        <f>ROUND(3600*K153*K154*E154*H154*K155/H155,2)</f>
        <v>75.41</v>
      </c>
      <c r="I156" s="237" t="s">
        <v>1422</v>
      </c>
      <c r="J156" s="246"/>
      <c r="O156" s="247"/>
    </row>
    <row r="157" spans="1:15" ht="15" customHeight="1">
      <c r="A157" s="243"/>
      <c r="J157" s="246"/>
      <c r="O157" s="247"/>
    </row>
    <row r="158" spans="1:15" ht="15" customHeight="1">
      <c r="A158" s="243"/>
      <c r="B158" s="237" t="s">
        <v>1218</v>
      </c>
      <c r="C158" s="250" t="s">
        <v>2008</v>
      </c>
      <c r="J158" s="246"/>
      <c r="O158" s="247"/>
    </row>
    <row r="159" spans="1:15" ht="15" customHeight="1">
      <c r="A159" s="243"/>
      <c r="D159" s="237" t="s">
        <v>2006</v>
      </c>
      <c r="F159" s="179" t="s">
        <v>1221</v>
      </c>
      <c r="G159" s="251">
        <v>20</v>
      </c>
      <c r="H159" s="245" t="s">
        <v>563</v>
      </c>
      <c r="I159" s="1017" t="s">
        <v>2009</v>
      </c>
      <c r="J159" s="1017"/>
      <c r="K159" s="249">
        <f>ROUND((((K160*E160)/G160)/10*10)/1000,2)</f>
        <v>15</v>
      </c>
      <c r="O159" s="247"/>
    </row>
    <row r="160" spans="1:15" ht="15" customHeight="1">
      <c r="A160" s="243"/>
      <c r="D160" s="179" t="s">
        <v>565</v>
      </c>
      <c r="E160" s="249">
        <v>1.5</v>
      </c>
      <c r="F160" s="179" t="s">
        <v>566</v>
      </c>
      <c r="G160" s="525">
        <v>2.4</v>
      </c>
      <c r="H160" s="245" t="s">
        <v>1924</v>
      </c>
      <c r="J160" s="179" t="s">
        <v>568</v>
      </c>
      <c r="K160" s="261">
        <v>24000</v>
      </c>
      <c r="L160" s="237" t="s">
        <v>613</v>
      </c>
      <c r="O160" s="247"/>
    </row>
    <row r="161" spans="1:15" ht="15" customHeight="1">
      <c r="A161" s="243"/>
      <c r="D161" s="244" t="s">
        <v>569</v>
      </c>
      <c r="E161" s="249">
        <v>0.9</v>
      </c>
      <c r="F161" s="179" t="s">
        <v>2010</v>
      </c>
      <c r="H161" s="249">
        <v>0.67</v>
      </c>
      <c r="I161" s="180" t="s">
        <v>570</v>
      </c>
      <c r="J161" s="246" t="s">
        <v>2015</v>
      </c>
      <c r="L161" s="237">
        <f>ROUND((K159/(K153*K154))/10*10,2)</f>
        <v>27.27</v>
      </c>
      <c r="M161" s="245" t="s">
        <v>485</v>
      </c>
      <c r="O161" s="247"/>
    </row>
    <row r="162" spans="1:15" ht="15" customHeight="1">
      <c r="A162" s="243"/>
      <c r="D162" s="179" t="s">
        <v>1441</v>
      </c>
      <c r="E162" s="249">
        <v>20</v>
      </c>
      <c r="G162" s="237" t="s">
        <v>2013</v>
      </c>
      <c r="H162" s="249">
        <v>25</v>
      </c>
      <c r="I162" s="246" t="s">
        <v>2014</v>
      </c>
      <c r="J162" s="246"/>
      <c r="L162" s="237">
        <f>ROUND(((H155*L161)/(60*H154))/10*10,2)</f>
        <v>19.190000000000001</v>
      </c>
      <c r="M162" s="245" t="s">
        <v>1226</v>
      </c>
      <c r="O162" s="247"/>
    </row>
    <row r="163" spans="1:15" ht="15" customHeight="1">
      <c r="A163" s="243"/>
      <c r="D163" s="1017" t="s">
        <v>2012</v>
      </c>
      <c r="E163" s="1017"/>
      <c r="F163" s="1017"/>
      <c r="G163" s="237">
        <f>ROUND((((G159/E162)+(G159/H162))*60)/10*10,2)</f>
        <v>108</v>
      </c>
      <c r="H163" s="245" t="s">
        <v>1226</v>
      </c>
      <c r="I163" s="179" t="s">
        <v>574</v>
      </c>
      <c r="J163" s="259">
        <v>0.8</v>
      </c>
      <c r="K163" s="237" t="s">
        <v>2011</v>
      </c>
      <c r="L163" s="259">
        <v>3.77</v>
      </c>
      <c r="O163" s="247"/>
    </row>
    <row r="164" spans="1:15" ht="15" customHeight="1">
      <c r="A164" s="243"/>
      <c r="D164" s="200" t="s">
        <v>575</v>
      </c>
      <c r="E164" s="259">
        <v>0.42</v>
      </c>
      <c r="F164" s="237" t="s">
        <v>1226</v>
      </c>
      <c r="H164" s="253" t="s">
        <v>130</v>
      </c>
      <c r="J164" s="259">
        <f>L162+G163+J163+E164+L163</f>
        <v>132.18</v>
      </c>
      <c r="O164" s="247"/>
    </row>
    <row r="165" spans="1:15" ht="15" customHeight="1">
      <c r="A165" s="243"/>
      <c r="D165" s="1017" t="s">
        <v>2016</v>
      </c>
      <c r="E165" s="1017"/>
      <c r="F165" s="245">
        <f>ROUND(60*K159*E161*H161*G160/J164,2)</f>
        <v>9.85</v>
      </c>
      <c r="G165" s="237" t="s">
        <v>1422</v>
      </c>
      <c r="I165" s="237" t="s">
        <v>2019</v>
      </c>
      <c r="J165" s="246"/>
      <c r="K165" s="526">
        <f>ROUNDDOWN((G163/J164),4)</f>
        <v>0.81699999999999995</v>
      </c>
      <c r="O165" s="247"/>
    </row>
    <row r="166" spans="1:15" ht="15" customHeight="1">
      <c r="A166" s="243"/>
      <c r="D166" s="200"/>
      <c r="E166" s="200"/>
      <c r="F166" s="245"/>
      <c r="J166" s="246"/>
      <c r="O166" s="247"/>
    </row>
    <row r="167" spans="1:15" ht="15" customHeight="1">
      <c r="A167" s="243"/>
      <c r="B167" s="237" t="s">
        <v>1218</v>
      </c>
      <c r="C167" s="250" t="s">
        <v>2022</v>
      </c>
      <c r="J167" s="246"/>
      <c r="O167" s="247"/>
    </row>
    <row r="168" spans="1:15" ht="15" customHeight="1">
      <c r="A168" s="243"/>
      <c r="D168" s="237" t="s">
        <v>548</v>
      </c>
      <c r="E168" s="253" t="s">
        <v>1997</v>
      </c>
      <c r="J168" s="252" t="s">
        <v>1229</v>
      </c>
      <c r="K168" s="245">
        <v>1</v>
      </c>
      <c r="L168" s="245" t="s">
        <v>1014</v>
      </c>
      <c r="O168" s="247"/>
    </row>
    <row r="169" spans="1:15" ht="15" customHeight="1">
      <c r="A169" s="243"/>
      <c r="D169" s="244" t="s">
        <v>134</v>
      </c>
      <c r="E169" s="249">
        <v>0.67</v>
      </c>
      <c r="G169" s="244" t="s">
        <v>1223</v>
      </c>
      <c r="H169" s="249">
        <v>0.45</v>
      </c>
      <c r="J169" s="246" t="s">
        <v>550</v>
      </c>
      <c r="K169" s="245">
        <v>0.55000000000000004</v>
      </c>
      <c r="L169" s="244"/>
      <c r="O169" s="247"/>
    </row>
    <row r="170" spans="1:15" ht="15" customHeight="1">
      <c r="A170" s="243"/>
      <c r="D170" s="1017" t="s">
        <v>551</v>
      </c>
      <c r="E170" s="1017"/>
      <c r="F170" s="1017"/>
      <c r="G170" s="1017"/>
      <c r="H170" s="248">
        <v>19</v>
      </c>
      <c r="I170" s="237" t="s">
        <v>552</v>
      </c>
      <c r="J170" s="246" t="s">
        <v>1998</v>
      </c>
      <c r="K170" s="245">
        <v>2.2999999999999998</v>
      </c>
      <c r="L170" s="237" t="s">
        <v>1924</v>
      </c>
      <c r="O170" s="247"/>
    </row>
    <row r="171" spans="1:15" ht="15" customHeight="1">
      <c r="A171" s="243"/>
      <c r="D171" s="1017" t="s">
        <v>1999</v>
      </c>
      <c r="E171" s="1017"/>
      <c r="F171" s="1017"/>
      <c r="G171" s="1017"/>
      <c r="H171" s="245">
        <f>ROUND(3600*K168*K169*E169*H169*K170/H170,2)</f>
        <v>72.260000000000005</v>
      </c>
      <c r="I171" s="237" t="s">
        <v>153</v>
      </c>
      <c r="J171" s="246"/>
      <c r="O171" s="247"/>
    </row>
    <row r="172" spans="1:15" ht="15" customHeight="1">
      <c r="A172" s="243"/>
      <c r="J172" s="246"/>
      <c r="O172" s="247"/>
    </row>
    <row r="173" spans="1:15" ht="15" customHeight="1">
      <c r="A173" s="243"/>
      <c r="B173" s="237" t="s">
        <v>1218</v>
      </c>
      <c r="C173" s="250" t="s">
        <v>2023</v>
      </c>
      <c r="J173" s="246"/>
      <c r="O173" s="247"/>
    </row>
    <row r="174" spans="1:15" ht="15" customHeight="1">
      <c r="A174" s="263"/>
      <c r="B174" s="264"/>
      <c r="C174" s="264"/>
      <c r="D174" s="264" t="s">
        <v>2006</v>
      </c>
      <c r="E174" s="266"/>
      <c r="F174" s="283" t="s">
        <v>1221</v>
      </c>
      <c r="G174" s="529">
        <v>20</v>
      </c>
      <c r="H174" s="266" t="s">
        <v>563</v>
      </c>
      <c r="I174" s="1017" t="s">
        <v>2009</v>
      </c>
      <c r="J174" s="1017"/>
      <c r="K174" s="275">
        <f>ROUND((((K175*E175)/G175)/10*10)/1000,2)</f>
        <v>15.65</v>
      </c>
      <c r="L174" s="264"/>
      <c r="M174" s="266"/>
      <c r="N174" s="264"/>
      <c r="O174" s="268"/>
    </row>
    <row r="175" spans="1:15" ht="15" customHeight="1">
      <c r="A175" s="270"/>
      <c r="B175" s="271"/>
      <c r="C175" s="271"/>
      <c r="D175" s="156" t="s">
        <v>565</v>
      </c>
      <c r="E175" s="284">
        <v>1.5</v>
      </c>
      <c r="F175" s="156" t="s">
        <v>566</v>
      </c>
      <c r="G175" s="530">
        <v>2.2999999999999998</v>
      </c>
      <c r="H175" s="272" t="s">
        <v>1924</v>
      </c>
      <c r="I175" s="271"/>
      <c r="J175" s="156" t="s">
        <v>568</v>
      </c>
      <c r="K175" s="531">
        <v>24000</v>
      </c>
      <c r="L175" s="271" t="s">
        <v>613</v>
      </c>
      <c r="M175" s="272"/>
      <c r="N175" s="271"/>
      <c r="O175" s="242"/>
    </row>
    <row r="176" spans="1:15" ht="15" customHeight="1">
      <c r="A176" s="243"/>
      <c r="D176" s="244" t="s">
        <v>569</v>
      </c>
      <c r="E176" s="249">
        <v>0.9</v>
      </c>
      <c r="F176" s="179" t="s">
        <v>2010</v>
      </c>
      <c r="H176" s="249">
        <v>0.67</v>
      </c>
      <c r="I176" s="180" t="s">
        <v>570</v>
      </c>
      <c r="J176" s="246" t="s">
        <v>2015</v>
      </c>
      <c r="L176" s="237">
        <f>ROUND((K174/(K168*K169))/10*10,2)</f>
        <v>28.45</v>
      </c>
      <c r="M176" s="245" t="s">
        <v>485</v>
      </c>
      <c r="O176" s="247"/>
    </row>
    <row r="177" spans="1:15" ht="15" customHeight="1">
      <c r="A177" s="243"/>
      <c r="D177" s="179" t="s">
        <v>1441</v>
      </c>
      <c r="E177" s="249">
        <v>20</v>
      </c>
      <c r="G177" s="237" t="s">
        <v>2013</v>
      </c>
      <c r="H177" s="249">
        <v>25</v>
      </c>
      <c r="I177" s="246" t="s">
        <v>2014</v>
      </c>
      <c r="J177" s="246"/>
      <c r="L177" s="237">
        <f>ROUND(((H170*L176)/(60*H169))/10*10,2)</f>
        <v>20.02</v>
      </c>
      <c r="M177" s="245" t="s">
        <v>1226</v>
      </c>
      <c r="O177" s="247"/>
    </row>
    <row r="178" spans="1:15" ht="15" customHeight="1">
      <c r="A178" s="243"/>
      <c r="D178" s="1017" t="s">
        <v>2012</v>
      </c>
      <c r="E178" s="1017"/>
      <c r="F178" s="1017"/>
      <c r="G178" s="237">
        <f>ROUND((((G174/E177)+(G174/H177))*60)/10*10,2)</f>
        <v>108</v>
      </c>
      <c r="H178" s="245" t="s">
        <v>1226</v>
      </c>
      <c r="I178" s="179" t="s">
        <v>574</v>
      </c>
      <c r="J178" s="259">
        <v>0.8</v>
      </c>
      <c r="K178" s="237" t="s">
        <v>2011</v>
      </c>
      <c r="L178" s="259">
        <v>3.77</v>
      </c>
      <c r="O178" s="247"/>
    </row>
    <row r="179" spans="1:15" ht="15" customHeight="1">
      <c r="A179" s="243"/>
      <c r="D179" s="200" t="s">
        <v>575</v>
      </c>
      <c r="E179" s="259">
        <v>0.42</v>
      </c>
      <c r="F179" s="237" t="s">
        <v>1226</v>
      </c>
      <c r="H179" s="253" t="s">
        <v>130</v>
      </c>
      <c r="J179" s="259">
        <f>L177+G178+J178+E179+L178</f>
        <v>133.01000000000002</v>
      </c>
      <c r="O179" s="247"/>
    </row>
    <row r="180" spans="1:15" ht="15" customHeight="1">
      <c r="A180" s="243"/>
      <c r="D180" s="1017" t="s">
        <v>2016</v>
      </c>
      <c r="E180" s="1017"/>
      <c r="F180" s="245">
        <f>ROUND(60*K174*E176*H176*G175/J179,2)</f>
        <v>9.7899999999999991</v>
      </c>
      <c r="G180" s="237" t="s">
        <v>1422</v>
      </c>
      <c r="I180" s="237" t="s">
        <v>2019</v>
      </c>
      <c r="J180" s="246"/>
      <c r="K180" s="526">
        <f>ROUNDDOWN((G178/J179),4)</f>
        <v>0.81189999999999996</v>
      </c>
      <c r="O180" s="247"/>
    </row>
    <row r="181" spans="1:15" ht="15" customHeight="1">
      <c r="A181" s="243"/>
      <c r="D181" s="200"/>
      <c r="E181" s="200"/>
      <c r="F181" s="245"/>
      <c r="J181" s="246"/>
      <c r="O181" s="247"/>
    </row>
    <row r="182" spans="1:15" ht="15" customHeight="1">
      <c r="A182" s="243"/>
      <c r="B182" s="237" t="s">
        <v>1218</v>
      </c>
      <c r="C182" s="250" t="s">
        <v>135</v>
      </c>
      <c r="J182" s="246"/>
      <c r="O182" s="247"/>
    </row>
    <row r="183" spans="1:15" ht="15" customHeight="1">
      <c r="A183" s="243"/>
      <c r="D183" s="237" t="s">
        <v>548</v>
      </c>
      <c r="E183" s="253" t="s">
        <v>123</v>
      </c>
      <c r="J183" s="252" t="s">
        <v>1229</v>
      </c>
      <c r="K183" s="245">
        <v>0.7</v>
      </c>
      <c r="L183" s="245" t="s">
        <v>1014</v>
      </c>
      <c r="O183" s="247"/>
    </row>
    <row r="184" spans="1:15" ht="15" customHeight="1">
      <c r="A184" s="243"/>
      <c r="D184" s="200" t="s">
        <v>638</v>
      </c>
      <c r="E184" s="249">
        <v>0.74</v>
      </c>
      <c r="G184" s="200" t="s">
        <v>1223</v>
      </c>
      <c r="H184" s="249">
        <v>0.85</v>
      </c>
      <c r="J184" s="246" t="s">
        <v>550</v>
      </c>
      <c r="K184" s="245">
        <v>0.9</v>
      </c>
      <c r="L184" s="244"/>
      <c r="O184" s="247"/>
    </row>
    <row r="185" spans="1:15" ht="15" customHeight="1">
      <c r="A185" s="243"/>
      <c r="D185" s="1017" t="s">
        <v>551</v>
      </c>
      <c r="E185" s="1017"/>
      <c r="F185" s="1017"/>
      <c r="G185" s="1017"/>
      <c r="H185" s="245">
        <v>21</v>
      </c>
      <c r="I185" s="237" t="s">
        <v>552</v>
      </c>
      <c r="J185" s="246"/>
      <c r="O185" s="247"/>
    </row>
    <row r="186" spans="1:15" ht="15" customHeight="1">
      <c r="A186" s="243"/>
      <c r="D186" s="1017" t="s">
        <v>553</v>
      </c>
      <c r="E186" s="1017"/>
      <c r="F186" s="1017"/>
      <c r="G186" s="1017"/>
      <c r="H186" s="245">
        <f>ROUND(3600*K183*K184*E184*H184/H185,2)</f>
        <v>67.930000000000007</v>
      </c>
      <c r="I186" s="237" t="s">
        <v>153</v>
      </c>
      <c r="J186" s="246"/>
      <c r="O186" s="247"/>
    </row>
    <row r="187" spans="1:15" ht="15" customHeight="1">
      <c r="A187" s="243"/>
      <c r="D187" s="200"/>
      <c r="E187" s="200"/>
      <c r="F187" s="200"/>
      <c r="G187" s="200"/>
      <c r="J187" s="246"/>
      <c r="O187" s="247"/>
    </row>
    <row r="188" spans="1:15" ht="15" customHeight="1">
      <c r="A188" s="243"/>
      <c r="B188" s="237" t="s">
        <v>1218</v>
      </c>
      <c r="C188" s="244" t="s">
        <v>136</v>
      </c>
      <c r="J188" s="246"/>
      <c r="O188" s="247"/>
    </row>
    <row r="189" spans="1:15" ht="15" customHeight="1">
      <c r="A189" s="243"/>
      <c r="D189" s="237" t="s">
        <v>548</v>
      </c>
      <c r="E189" s="253" t="s">
        <v>123</v>
      </c>
      <c r="J189" s="256" t="s">
        <v>1229</v>
      </c>
      <c r="K189" s="245">
        <v>0.7</v>
      </c>
      <c r="L189" s="245" t="s">
        <v>1014</v>
      </c>
      <c r="O189" s="247"/>
    </row>
    <row r="190" spans="1:15" ht="15" customHeight="1">
      <c r="A190" s="243"/>
      <c r="D190" s="200" t="s">
        <v>137</v>
      </c>
      <c r="E190" s="249">
        <v>0.7</v>
      </c>
      <c r="G190" s="200" t="s">
        <v>1223</v>
      </c>
      <c r="H190" s="249">
        <v>0.75</v>
      </c>
      <c r="J190" s="131" t="s">
        <v>550</v>
      </c>
      <c r="K190" s="245">
        <v>0.9</v>
      </c>
      <c r="L190" s="244"/>
      <c r="O190" s="247"/>
    </row>
    <row r="191" spans="1:15" ht="15" customHeight="1">
      <c r="A191" s="243"/>
      <c r="D191" s="244" t="s">
        <v>551</v>
      </c>
      <c r="H191" s="245">
        <v>21</v>
      </c>
      <c r="I191" s="237" t="s">
        <v>552</v>
      </c>
      <c r="J191" s="246"/>
      <c r="O191" s="247"/>
    </row>
    <row r="192" spans="1:15" ht="15" customHeight="1">
      <c r="A192" s="243"/>
      <c r="D192" s="1017" t="s">
        <v>553</v>
      </c>
      <c r="E192" s="1017"/>
      <c r="F192" s="1017"/>
      <c r="G192" s="1017"/>
      <c r="H192" s="245">
        <f>3600*K189*K190*E190*H190/H191</f>
        <v>56.699999999999989</v>
      </c>
      <c r="I192" s="237" t="s">
        <v>153</v>
      </c>
      <c r="J192" s="246"/>
      <c r="O192" s="247"/>
    </row>
    <row r="193" spans="1:15" ht="15" customHeight="1">
      <c r="A193" s="243"/>
      <c r="D193" s="200"/>
      <c r="E193" s="200"/>
      <c r="F193" s="200"/>
      <c r="G193" s="200"/>
      <c r="J193" s="246"/>
      <c r="O193" s="247"/>
    </row>
    <row r="194" spans="1:15" ht="15" customHeight="1">
      <c r="A194" s="243"/>
      <c r="B194" s="237" t="s">
        <v>1218</v>
      </c>
      <c r="C194" s="250" t="s">
        <v>138</v>
      </c>
      <c r="J194" s="246"/>
      <c r="O194" s="247"/>
    </row>
    <row r="195" spans="1:15" ht="15" customHeight="1">
      <c r="A195" s="243"/>
      <c r="D195" s="237" t="s">
        <v>127</v>
      </c>
      <c r="F195" s="179" t="s">
        <v>1221</v>
      </c>
      <c r="G195" s="251">
        <v>1.5</v>
      </c>
      <c r="H195" s="245" t="s">
        <v>563</v>
      </c>
      <c r="I195" s="1017" t="s">
        <v>564</v>
      </c>
      <c r="J195" s="1017"/>
      <c r="K195" s="249">
        <f>ROUND(((K196*E196)/G196)/10*10,2)</f>
        <v>9.5399999999999991</v>
      </c>
      <c r="O195" s="247"/>
    </row>
    <row r="196" spans="1:15" ht="15" customHeight="1">
      <c r="A196" s="243"/>
      <c r="D196" s="244" t="s">
        <v>565</v>
      </c>
      <c r="E196" s="245">
        <v>1.25</v>
      </c>
      <c r="F196" s="237" t="s">
        <v>566</v>
      </c>
      <c r="G196" s="248">
        <v>1965</v>
      </c>
      <c r="H196" s="245" t="s">
        <v>567</v>
      </c>
      <c r="J196" s="246" t="s">
        <v>568</v>
      </c>
      <c r="K196" s="245">
        <v>15000</v>
      </c>
      <c r="L196" s="237" t="s">
        <v>613</v>
      </c>
      <c r="O196" s="247"/>
    </row>
    <row r="197" spans="1:15" ht="15" customHeight="1">
      <c r="A197" s="243"/>
      <c r="D197" s="237" t="s">
        <v>569</v>
      </c>
      <c r="E197" s="249">
        <v>0.9</v>
      </c>
      <c r="F197" s="234" t="s">
        <v>128</v>
      </c>
      <c r="G197" s="235"/>
      <c r="H197" s="249">
        <v>0.74</v>
      </c>
      <c r="I197" s="179" t="s">
        <v>570</v>
      </c>
      <c r="J197" s="246" t="s">
        <v>571</v>
      </c>
      <c r="L197" s="245">
        <f>ROUND((K195/(K183*K184))/10*10,2)</f>
        <v>15.14</v>
      </c>
      <c r="M197" s="245" t="s">
        <v>485</v>
      </c>
      <c r="O197" s="247"/>
    </row>
    <row r="198" spans="1:15" ht="15" customHeight="1">
      <c r="A198" s="243"/>
      <c r="D198" s="179" t="s">
        <v>1232</v>
      </c>
      <c r="E198" s="249">
        <v>20</v>
      </c>
      <c r="G198" s="237" t="s">
        <v>1233</v>
      </c>
      <c r="H198" s="249">
        <v>20</v>
      </c>
      <c r="I198" s="1017" t="s">
        <v>572</v>
      </c>
      <c r="J198" s="1017"/>
      <c r="K198" s="1017"/>
      <c r="L198" s="237">
        <f>ROUND(((H185*L197)/(60*H184))/10*10,2)</f>
        <v>6.23</v>
      </c>
      <c r="M198" s="245" t="s">
        <v>1226</v>
      </c>
      <c r="O198" s="247"/>
    </row>
    <row r="199" spans="1:15" ht="15" customHeight="1">
      <c r="A199" s="243"/>
      <c r="D199" s="1017" t="s">
        <v>573</v>
      </c>
      <c r="E199" s="1017"/>
      <c r="F199" s="1017"/>
      <c r="G199" s="237">
        <f>ROUND((((G195/E198)+(G195/H198))*60)/10*10,2)</f>
        <v>9</v>
      </c>
      <c r="H199" s="245" t="s">
        <v>1226</v>
      </c>
      <c r="I199" s="179" t="s">
        <v>574</v>
      </c>
      <c r="J199" s="259">
        <v>0.8</v>
      </c>
      <c r="K199" s="237" t="s">
        <v>129</v>
      </c>
      <c r="L199" s="259">
        <v>0</v>
      </c>
      <c r="O199" s="247"/>
    </row>
    <row r="200" spans="1:15" ht="15" customHeight="1">
      <c r="A200" s="243"/>
      <c r="D200" s="200" t="s">
        <v>575</v>
      </c>
      <c r="E200" s="259">
        <v>0.42</v>
      </c>
      <c r="F200" s="237" t="s">
        <v>1226</v>
      </c>
      <c r="H200" s="253" t="s">
        <v>130</v>
      </c>
      <c r="J200" s="259">
        <f>L198+G199+J199+E200</f>
        <v>16.450000000000003</v>
      </c>
      <c r="O200" s="247"/>
    </row>
    <row r="201" spans="1:15" ht="15" customHeight="1">
      <c r="A201" s="243"/>
      <c r="D201" s="1017" t="s">
        <v>576</v>
      </c>
      <c r="E201" s="1017"/>
      <c r="F201" s="245">
        <f>ROUND(60*K195*E197*H197/J200,2)</f>
        <v>23.17</v>
      </c>
      <c r="G201" s="237" t="s">
        <v>153</v>
      </c>
      <c r="J201" s="246"/>
      <c r="O201" s="247"/>
    </row>
    <row r="202" spans="1:15" ht="15" customHeight="1">
      <c r="A202" s="243"/>
      <c r="D202" s="200"/>
      <c r="E202" s="200"/>
      <c r="F202" s="245"/>
      <c r="J202" s="246"/>
      <c r="O202" s="247"/>
    </row>
    <row r="203" spans="1:15" ht="15" customHeight="1">
      <c r="A203" s="243"/>
      <c r="B203" s="237" t="s">
        <v>1218</v>
      </c>
      <c r="C203" s="250" t="s">
        <v>139</v>
      </c>
      <c r="J203" s="246"/>
      <c r="O203" s="247"/>
    </row>
    <row r="204" spans="1:15" ht="15" customHeight="1">
      <c r="A204" s="243"/>
      <c r="D204" s="237" t="s">
        <v>127</v>
      </c>
      <c r="F204" s="179" t="s">
        <v>1221</v>
      </c>
      <c r="G204" s="251">
        <f>운반거리!K10</f>
        <v>3.8</v>
      </c>
      <c r="H204" s="245" t="s">
        <v>563</v>
      </c>
      <c r="I204" s="1017" t="s">
        <v>564</v>
      </c>
      <c r="J204" s="1017"/>
      <c r="K204" s="249">
        <f>ROUND(((K205*E205)/G205)/10*10,2)</f>
        <v>10.55</v>
      </c>
      <c r="O204" s="247"/>
    </row>
    <row r="205" spans="1:15" ht="15" customHeight="1">
      <c r="A205" s="243"/>
      <c r="D205" s="179" t="s">
        <v>565</v>
      </c>
      <c r="E205" s="249">
        <v>1.32</v>
      </c>
      <c r="F205" s="179" t="s">
        <v>566</v>
      </c>
      <c r="G205" s="260">
        <v>1876</v>
      </c>
      <c r="H205" s="245" t="s">
        <v>567</v>
      </c>
      <c r="J205" s="237" t="s">
        <v>568</v>
      </c>
      <c r="K205" s="261">
        <v>15000</v>
      </c>
      <c r="L205" s="237" t="s">
        <v>613</v>
      </c>
      <c r="O205" s="247"/>
    </row>
    <row r="206" spans="1:15" ht="15" customHeight="1">
      <c r="A206" s="243"/>
      <c r="D206" s="244" t="s">
        <v>569</v>
      </c>
      <c r="E206" s="245">
        <v>0.9</v>
      </c>
      <c r="F206" s="237" t="s">
        <v>137</v>
      </c>
      <c r="H206" s="245">
        <v>0.7</v>
      </c>
      <c r="I206" s="237" t="s">
        <v>570</v>
      </c>
      <c r="J206" s="246" t="s">
        <v>571</v>
      </c>
      <c r="L206" s="237">
        <f>ROUND((K204/(K189*K190))/10*10,2)</f>
        <v>16.75</v>
      </c>
      <c r="M206" s="245" t="s">
        <v>485</v>
      </c>
      <c r="O206" s="247"/>
    </row>
    <row r="207" spans="1:15" ht="15" customHeight="1">
      <c r="A207" s="243"/>
      <c r="D207" s="179" t="s">
        <v>1232</v>
      </c>
      <c r="E207" s="249">
        <v>20</v>
      </c>
      <c r="G207" s="237" t="s">
        <v>1233</v>
      </c>
      <c r="H207" s="249">
        <v>20</v>
      </c>
      <c r="I207" s="246" t="s">
        <v>572</v>
      </c>
      <c r="J207" s="246"/>
      <c r="L207" s="237">
        <f>ROUND(((H191*L206)/(60*H190))/10*10,2)</f>
        <v>7.82</v>
      </c>
      <c r="M207" s="245" t="s">
        <v>1226</v>
      </c>
      <c r="O207" s="247"/>
    </row>
    <row r="208" spans="1:15" ht="15" customHeight="1">
      <c r="A208" s="263"/>
      <c r="B208" s="264"/>
      <c r="C208" s="264"/>
      <c r="D208" s="1017" t="s">
        <v>573</v>
      </c>
      <c r="E208" s="1017"/>
      <c r="F208" s="1017"/>
      <c r="G208" s="264">
        <f>ROUND((((G204/E207)+(G204/H207))*60)/10*10,2)</f>
        <v>22.8</v>
      </c>
      <c r="H208" s="266" t="s">
        <v>1226</v>
      </c>
      <c r="I208" s="264" t="s">
        <v>574</v>
      </c>
      <c r="J208" s="532">
        <v>0.8</v>
      </c>
      <c r="K208" s="264" t="s">
        <v>129</v>
      </c>
      <c r="L208" s="532">
        <v>0</v>
      </c>
      <c r="M208" s="266"/>
      <c r="N208" s="264"/>
      <c r="O208" s="268"/>
    </row>
    <row r="209" spans="1:15" ht="15" customHeight="1">
      <c r="A209" s="270"/>
      <c r="B209" s="271"/>
      <c r="C209" s="271"/>
      <c r="D209" s="280" t="s">
        <v>575</v>
      </c>
      <c r="E209" s="285">
        <v>0.42</v>
      </c>
      <c r="F209" s="271" t="s">
        <v>1226</v>
      </c>
      <c r="G209" s="271"/>
      <c r="H209" s="279" t="s">
        <v>130</v>
      </c>
      <c r="I209" s="271"/>
      <c r="J209" s="285">
        <f>L207+G208+J208+E209</f>
        <v>31.840000000000003</v>
      </c>
      <c r="K209" s="272"/>
      <c r="L209" s="271"/>
      <c r="M209" s="272"/>
      <c r="N209" s="271"/>
      <c r="O209" s="242"/>
    </row>
    <row r="210" spans="1:15" ht="15" customHeight="1">
      <c r="A210" s="243"/>
      <c r="D210" s="1017" t="s">
        <v>576</v>
      </c>
      <c r="E210" s="1017"/>
      <c r="F210" s="245">
        <f>ROUND(60*K204*E206*H206/J209,2)</f>
        <v>12.52</v>
      </c>
      <c r="G210" s="237" t="s">
        <v>153</v>
      </c>
      <c r="J210" s="246"/>
      <c r="O210" s="247"/>
    </row>
    <row r="211" spans="1:15" ht="15" customHeight="1">
      <c r="A211" s="243"/>
      <c r="J211" s="246"/>
      <c r="O211" s="247"/>
    </row>
    <row r="212" spans="1:15" ht="15" customHeight="1">
      <c r="A212" s="243"/>
      <c r="B212" s="237" t="s">
        <v>1218</v>
      </c>
      <c r="C212" s="244" t="s">
        <v>140</v>
      </c>
      <c r="J212" s="246"/>
      <c r="O212" s="247"/>
    </row>
    <row r="213" spans="1:15" ht="15" customHeight="1">
      <c r="A213" s="243"/>
      <c r="D213" s="237" t="s">
        <v>548</v>
      </c>
      <c r="E213" s="253" t="s">
        <v>123</v>
      </c>
      <c r="J213" s="256" t="s">
        <v>1229</v>
      </c>
      <c r="K213" s="245">
        <v>0.7</v>
      </c>
      <c r="L213" s="245" t="s">
        <v>1014</v>
      </c>
      <c r="O213" s="247"/>
    </row>
    <row r="214" spans="1:15" ht="15" customHeight="1">
      <c r="A214" s="243"/>
      <c r="D214" s="200" t="s">
        <v>141</v>
      </c>
      <c r="E214" s="249">
        <v>0.72</v>
      </c>
      <c r="G214" s="200" t="s">
        <v>1223</v>
      </c>
      <c r="H214" s="249">
        <v>0.9</v>
      </c>
      <c r="J214" s="131" t="s">
        <v>550</v>
      </c>
      <c r="K214" s="245">
        <v>1.1000000000000001</v>
      </c>
      <c r="L214" s="244"/>
      <c r="O214" s="247"/>
    </row>
    <row r="215" spans="1:15" ht="15" customHeight="1">
      <c r="A215" s="243"/>
      <c r="D215" s="244" t="s">
        <v>551</v>
      </c>
      <c r="H215" s="245">
        <v>19</v>
      </c>
      <c r="I215" s="237" t="s">
        <v>552</v>
      </c>
      <c r="J215" s="246"/>
      <c r="O215" s="247"/>
    </row>
    <row r="216" spans="1:15" ht="15" customHeight="1">
      <c r="A216" s="243"/>
      <c r="D216" s="200" t="s">
        <v>553</v>
      </c>
      <c r="E216" s="200"/>
      <c r="F216" s="200"/>
      <c r="G216" s="200"/>
      <c r="H216" s="245">
        <f>3600*K213*K214*E214*H214/H215</f>
        <v>94.539789473684209</v>
      </c>
      <c r="I216" s="237" t="s">
        <v>153</v>
      </c>
      <c r="J216" s="246"/>
      <c r="O216" s="247"/>
    </row>
    <row r="217" spans="1:15" ht="15" customHeight="1">
      <c r="A217" s="243"/>
      <c r="D217" s="244"/>
      <c r="J217" s="246"/>
      <c r="O217" s="247"/>
    </row>
    <row r="218" spans="1:15" ht="15" customHeight="1">
      <c r="A218" s="243"/>
      <c r="B218" s="237" t="s">
        <v>1218</v>
      </c>
      <c r="C218" s="250" t="s">
        <v>142</v>
      </c>
      <c r="J218" s="246"/>
      <c r="O218" s="247"/>
    </row>
    <row r="219" spans="1:15" ht="15" customHeight="1">
      <c r="A219" s="243"/>
      <c r="D219" s="237" t="s">
        <v>127</v>
      </c>
      <c r="F219" s="179" t="s">
        <v>1221</v>
      </c>
      <c r="G219" s="251">
        <v>1</v>
      </c>
      <c r="H219" s="245" t="s">
        <v>563</v>
      </c>
      <c r="I219" s="180" t="s">
        <v>564</v>
      </c>
      <c r="J219" s="180"/>
      <c r="K219" s="249">
        <f>ROUND(((K220*E220)/G220)/10*10,2)</f>
        <v>10.78</v>
      </c>
      <c r="O219" s="247"/>
    </row>
    <row r="220" spans="1:15" ht="15" customHeight="1">
      <c r="A220" s="243"/>
      <c r="D220" s="179" t="s">
        <v>565</v>
      </c>
      <c r="E220" s="249">
        <v>1.32</v>
      </c>
      <c r="F220" s="179" t="s">
        <v>566</v>
      </c>
      <c r="G220" s="260">
        <v>1836</v>
      </c>
      <c r="H220" s="245" t="s">
        <v>567</v>
      </c>
      <c r="J220" s="237" t="s">
        <v>568</v>
      </c>
      <c r="K220" s="261">
        <v>15000</v>
      </c>
      <c r="L220" s="237" t="s">
        <v>613</v>
      </c>
      <c r="O220" s="247"/>
    </row>
    <row r="221" spans="1:15" ht="15" customHeight="1">
      <c r="A221" s="243"/>
      <c r="D221" s="237" t="s">
        <v>569</v>
      </c>
      <c r="E221" s="249">
        <v>0.9</v>
      </c>
      <c r="F221" s="234" t="s">
        <v>137</v>
      </c>
      <c r="G221" s="235"/>
      <c r="H221" s="249">
        <v>0.7</v>
      </c>
      <c r="I221" s="179" t="s">
        <v>570</v>
      </c>
      <c r="J221" s="246" t="s">
        <v>571</v>
      </c>
      <c r="L221" s="245">
        <f>ROUND((K219/(K213*K214))/10*10,2)</f>
        <v>14</v>
      </c>
      <c r="M221" s="245" t="s">
        <v>485</v>
      </c>
      <c r="O221" s="247"/>
    </row>
    <row r="222" spans="1:15" ht="15" customHeight="1">
      <c r="A222" s="243"/>
      <c r="D222" s="179" t="s">
        <v>1232</v>
      </c>
      <c r="E222" s="249">
        <v>20</v>
      </c>
      <c r="G222" s="237" t="s">
        <v>1233</v>
      </c>
      <c r="H222" s="249">
        <v>20</v>
      </c>
      <c r="I222" s="246" t="s">
        <v>572</v>
      </c>
      <c r="J222" s="246"/>
      <c r="L222" s="237">
        <f>ROUND(((H215*L221)/(60*H214))/10*10,2)</f>
        <v>4.93</v>
      </c>
      <c r="M222" s="245" t="s">
        <v>1226</v>
      </c>
      <c r="O222" s="247"/>
    </row>
    <row r="223" spans="1:15" ht="15" customHeight="1">
      <c r="A223" s="243"/>
      <c r="D223" s="179" t="s">
        <v>573</v>
      </c>
      <c r="E223" s="179"/>
      <c r="F223" s="179"/>
      <c r="G223" s="237">
        <f>ROUND((((G219/E222)+(G219/H222))*60)/10*10,2)</f>
        <v>6</v>
      </c>
      <c r="H223" s="245" t="s">
        <v>1226</v>
      </c>
      <c r="I223" s="237" t="s">
        <v>574</v>
      </c>
      <c r="J223" s="259">
        <v>0.8</v>
      </c>
      <c r="K223" s="237" t="s">
        <v>129</v>
      </c>
      <c r="L223" s="259">
        <v>0</v>
      </c>
      <c r="O223" s="247"/>
    </row>
    <row r="224" spans="1:15" ht="15" customHeight="1">
      <c r="A224" s="243"/>
      <c r="D224" s="200" t="s">
        <v>575</v>
      </c>
      <c r="E224" s="259">
        <v>0.42</v>
      </c>
      <c r="F224" s="237" t="s">
        <v>1226</v>
      </c>
      <c r="H224" s="253" t="s">
        <v>130</v>
      </c>
      <c r="J224" s="259">
        <f>L222+G223+J223+E224</f>
        <v>12.15</v>
      </c>
      <c r="O224" s="247"/>
    </row>
    <row r="225" spans="1:15" ht="15" customHeight="1">
      <c r="A225" s="243"/>
      <c r="D225" s="200" t="s">
        <v>576</v>
      </c>
      <c r="E225" s="200"/>
      <c r="F225" s="245">
        <f>ROUND(60*K219*E221*H221/J224,2)</f>
        <v>33.54</v>
      </c>
      <c r="G225" s="237" t="s">
        <v>153</v>
      </c>
      <c r="J225" s="246"/>
      <c r="O225" s="247"/>
    </row>
    <row r="226" spans="1:15" ht="15" customHeight="1">
      <c r="A226" s="243"/>
      <c r="J226" s="246"/>
      <c r="O226" s="247"/>
    </row>
    <row r="227" spans="1:15" ht="15" customHeight="1">
      <c r="A227" s="243"/>
      <c r="B227" s="237" t="s">
        <v>1218</v>
      </c>
      <c r="C227" s="250" t="s">
        <v>1404</v>
      </c>
      <c r="J227" s="246"/>
      <c r="O227" s="247"/>
    </row>
    <row r="228" spans="1:15" ht="15" customHeight="1">
      <c r="A228" s="243"/>
      <c r="D228" s="237" t="s">
        <v>1405</v>
      </c>
      <c r="E228" s="245">
        <v>12</v>
      </c>
      <c r="F228" s="237" t="s">
        <v>1013</v>
      </c>
      <c r="J228" s="246"/>
      <c r="O228" s="247"/>
    </row>
    <row r="229" spans="1:15" ht="15" customHeight="1">
      <c r="A229" s="243"/>
      <c r="D229" s="237" t="s">
        <v>579</v>
      </c>
      <c r="E229" s="245">
        <v>4</v>
      </c>
      <c r="F229" s="245"/>
      <c r="G229" s="237" t="s">
        <v>580</v>
      </c>
      <c r="I229" s="249">
        <v>0.7</v>
      </c>
      <c r="J229" s="246" t="s">
        <v>581</v>
      </c>
      <c r="L229" s="245">
        <v>0.2</v>
      </c>
      <c r="O229" s="247"/>
    </row>
    <row r="230" spans="1:15" ht="15" customHeight="1">
      <c r="A230" s="243"/>
      <c r="D230" s="237" t="s">
        <v>569</v>
      </c>
      <c r="E230" s="245">
        <v>0.6</v>
      </c>
      <c r="F230" s="245"/>
      <c r="G230" s="237" t="s">
        <v>582</v>
      </c>
      <c r="I230" s="249">
        <v>1</v>
      </c>
      <c r="J230" s="246" t="s">
        <v>583</v>
      </c>
      <c r="L230" s="245">
        <v>3</v>
      </c>
      <c r="O230" s="247"/>
    </row>
    <row r="231" spans="1:15" ht="15" customHeight="1">
      <c r="A231" s="243"/>
      <c r="D231" s="244" t="s">
        <v>1190</v>
      </c>
      <c r="F231" s="245">
        <f>ROUND(1000*E229*I229*L229*E230*I230/L230,2)</f>
        <v>112</v>
      </c>
      <c r="G231" s="245" t="s">
        <v>153</v>
      </c>
      <c r="J231" s="246"/>
      <c r="O231" s="247"/>
    </row>
    <row r="232" spans="1:15" ht="15" customHeight="1">
      <c r="A232" s="243"/>
      <c r="D232" s="244"/>
      <c r="F232" s="245"/>
      <c r="G232" s="245"/>
      <c r="J232" s="246"/>
      <c r="O232" s="247"/>
    </row>
    <row r="233" spans="1:15" ht="15" customHeight="1">
      <c r="A233" s="243"/>
      <c r="D233" s="244"/>
      <c r="F233" s="245"/>
      <c r="G233" s="245"/>
      <c r="J233" s="246"/>
      <c r="O233" s="247"/>
    </row>
    <row r="234" spans="1:15" ht="15" customHeight="1">
      <c r="A234" s="243"/>
      <c r="B234" s="237" t="s">
        <v>1218</v>
      </c>
      <c r="C234" s="250" t="s">
        <v>143</v>
      </c>
      <c r="J234" s="246"/>
      <c r="O234" s="247"/>
    </row>
    <row r="235" spans="1:15" ht="15" customHeight="1">
      <c r="A235" s="243"/>
      <c r="D235" s="237" t="s">
        <v>1220</v>
      </c>
      <c r="E235" s="245" t="s">
        <v>121</v>
      </c>
      <c r="G235" s="237" t="s">
        <v>1221</v>
      </c>
      <c r="H235" s="245">
        <v>10</v>
      </c>
      <c r="I235" s="237" t="s">
        <v>1019</v>
      </c>
      <c r="J235" s="252" t="s">
        <v>1229</v>
      </c>
      <c r="K235" s="253" t="s">
        <v>160</v>
      </c>
      <c r="L235" s="237">
        <v>3.2</v>
      </c>
      <c r="M235" s="245" t="s">
        <v>1014</v>
      </c>
      <c r="O235" s="247"/>
    </row>
    <row r="236" spans="1:15" ht="15" customHeight="1">
      <c r="A236" s="243"/>
      <c r="D236" s="244" t="s">
        <v>168</v>
      </c>
      <c r="E236" s="249">
        <v>0.8</v>
      </c>
      <c r="G236" s="244" t="s">
        <v>1223</v>
      </c>
      <c r="H236" s="245">
        <v>0.85</v>
      </c>
      <c r="J236" s="246" t="s">
        <v>1232</v>
      </c>
      <c r="K236" s="245">
        <v>75</v>
      </c>
      <c r="L236" s="244" t="s">
        <v>1233</v>
      </c>
      <c r="M236" s="245">
        <v>98</v>
      </c>
      <c r="O236" s="247"/>
    </row>
    <row r="237" spans="1:15" ht="15" customHeight="1">
      <c r="A237" s="243"/>
      <c r="D237" s="244" t="s">
        <v>546</v>
      </c>
      <c r="H237" s="245">
        <f>ROUND(((H235/K236)+(H235/M236)+0.25)/10*10,2)</f>
        <v>0.49</v>
      </c>
      <c r="I237" s="237" t="s">
        <v>1226</v>
      </c>
      <c r="J237" s="246"/>
      <c r="O237" s="247"/>
    </row>
    <row r="238" spans="1:15" ht="15" customHeight="1">
      <c r="A238" s="243"/>
      <c r="D238" s="244" t="s">
        <v>547</v>
      </c>
      <c r="H238" s="245">
        <f>60*L235*E236*H236/H237</f>
        <v>266.44897959183675</v>
      </c>
      <c r="I238" s="237" t="s">
        <v>153</v>
      </c>
      <c r="J238" s="246"/>
      <c r="O238" s="247"/>
    </row>
    <row r="239" spans="1:15" ht="15" customHeight="1">
      <c r="A239" s="243"/>
      <c r="D239" s="200"/>
      <c r="E239" s="200"/>
      <c r="F239" s="200"/>
      <c r="G239" s="200"/>
      <c r="J239" s="246"/>
      <c r="O239" s="247"/>
    </row>
    <row r="240" spans="1:15" ht="15" customHeight="1">
      <c r="A240" s="243"/>
      <c r="B240" s="237" t="s">
        <v>1218</v>
      </c>
      <c r="C240" s="250" t="s">
        <v>144</v>
      </c>
      <c r="J240" s="246"/>
      <c r="O240" s="247"/>
    </row>
    <row r="241" spans="1:15" ht="15" customHeight="1">
      <c r="A241" s="243"/>
      <c r="D241" s="237" t="s">
        <v>1220</v>
      </c>
      <c r="E241" s="245" t="s">
        <v>1352</v>
      </c>
      <c r="G241" s="179" t="s">
        <v>1221</v>
      </c>
      <c r="H241" s="245">
        <v>20</v>
      </c>
      <c r="I241" s="237" t="s">
        <v>1019</v>
      </c>
      <c r="J241" s="252" t="s">
        <v>1229</v>
      </c>
      <c r="K241" s="253" t="s">
        <v>1230</v>
      </c>
      <c r="L241" s="237">
        <v>3.07</v>
      </c>
      <c r="M241" s="245" t="s">
        <v>1014</v>
      </c>
      <c r="O241" s="247"/>
    </row>
    <row r="242" spans="1:15" ht="15" customHeight="1">
      <c r="A242" s="263"/>
      <c r="B242" s="264"/>
      <c r="C242" s="264"/>
      <c r="D242" s="274" t="s">
        <v>1231</v>
      </c>
      <c r="E242" s="266">
        <v>0.8</v>
      </c>
      <c r="F242" s="264"/>
      <c r="G242" s="528" t="s">
        <v>1223</v>
      </c>
      <c r="H242" s="266">
        <v>0.7</v>
      </c>
      <c r="I242" s="264"/>
      <c r="J242" s="267" t="s">
        <v>1232</v>
      </c>
      <c r="K242" s="266">
        <v>75</v>
      </c>
      <c r="L242" s="274" t="s">
        <v>1233</v>
      </c>
      <c r="M242" s="266">
        <v>98</v>
      </c>
      <c r="N242" s="264"/>
      <c r="O242" s="268"/>
    </row>
    <row r="243" spans="1:15" ht="15" customHeight="1">
      <c r="A243" s="270"/>
      <c r="B243" s="271"/>
      <c r="C243" s="271"/>
      <c r="D243" s="277" t="s">
        <v>546</v>
      </c>
      <c r="E243" s="272"/>
      <c r="F243" s="271"/>
      <c r="G243" s="271"/>
      <c r="H243" s="272">
        <f>ROUND(H241/K242+H241/M242+0.25,2)</f>
        <v>0.72</v>
      </c>
      <c r="I243" s="271" t="s">
        <v>1226</v>
      </c>
      <c r="J243" s="273"/>
      <c r="K243" s="272"/>
      <c r="L243" s="271"/>
      <c r="M243" s="272"/>
      <c r="N243" s="271"/>
      <c r="O243" s="242"/>
    </row>
    <row r="244" spans="1:15" ht="15" customHeight="1">
      <c r="A244" s="243"/>
      <c r="D244" s="244" t="s">
        <v>547</v>
      </c>
      <c r="H244" s="245">
        <v>143.26</v>
      </c>
      <c r="I244" s="237" t="s">
        <v>153</v>
      </c>
      <c r="J244" s="246"/>
      <c r="O244" s="247"/>
    </row>
    <row r="245" spans="1:15" ht="15" customHeight="1">
      <c r="A245" s="243"/>
      <c r="D245" s="244"/>
      <c r="J245" s="246"/>
      <c r="O245" s="247"/>
    </row>
    <row r="246" spans="1:15" ht="15" customHeight="1">
      <c r="A246" s="243"/>
      <c r="B246" s="237" t="s">
        <v>1218</v>
      </c>
      <c r="C246" s="250" t="s">
        <v>577</v>
      </c>
      <c r="J246" s="246"/>
      <c r="O246" s="247"/>
    </row>
    <row r="247" spans="1:15" ht="15" customHeight="1">
      <c r="A247" s="243"/>
      <c r="D247" s="237" t="s">
        <v>578</v>
      </c>
      <c r="E247" s="251">
        <v>1.5</v>
      </c>
      <c r="F247" s="237" t="s">
        <v>1013</v>
      </c>
      <c r="J247" s="246"/>
      <c r="O247" s="247"/>
    </row>
    <row r="248" spans="1:15" ht="15" customHeight="1">
      <c r="A248" s="243"/>
      <c r="D248" s="237" t="s">
        <v>579</v>
      </c>
      <c r="E248" s="245">
        <v>1</v>
      </c>
      <c r="F248" s="245"/>
      <c r="G248" s="237" t="s">
        <v>580</v>
      </c>
      <c r="I248" s="249">
        <v>0.45</v>
      </c>
      <c r="J248" s="246" t="s">
        <v>581</v>
      </c>
      <c r="L248" s="245">
        <v>0.1</v>
      </c>
      <c r="O248" s="247"/>
    </row>
    <row r="249" spans="1:15" ht="15" customHeight="1">
      <c r="A249" s="243"/>
      <c r="D249" s="237" t="s">
        <v>569</v>
      </c>
      <c r="E249" s="245">
        <v>0.6</v>
      </c>
      <c r="F249" s="245"/>
      <c r="G249" s="237" t="s">
        <v>582</v>
      </c>
      <c r="I249" s="249">
        <v>1</v>
      </c>
      <c r="J249" s="246" t="s">
        <v>583</v>
      </c>
      <c r="L249" s="245">
        <v>3</v>
      </c>
      <c r="O249" s="247"/>
    </row>
    <row r="250" spans="1:15" ht="15" customHeight="1">
      <c r="A250" s="243"/>
      <c r="D250" s="1017" t="s">
        <v>145</v>
      </c>
      <c r="E250" s="1017"/>
      <c r="F250" s="245">
        <v>9</v>
      </c>
      <c r="G250" s="250" t="s">
        <v>146</v>
      </c>
      <c r="J250" s="246"/>
      <c r="O250" s="247"/>
    </row>
    <row r="251" spans="1:15" ht="15" customHeight="1">
      <c r="A251" s="243"/>
      <c r="J251" s="246"/>
      <c r="O251" s="247"/>
    </row>
    <row r="252" spans="1:15" ht="15" customHeight="1">
      <c r="A252" s="243"/>
      <c r="B252" s="237" t="s">
        <v>1218</v>
      </c>
      <c r="C252" s="250" t="s">
        <v>584</v>
      </c>
      <c r="J252" s="246"/>
      <c r="O252" s="247"/>
    </row>
    <row r="253" spans="1:15" ht="15" customHeight="1">
      <c r="A253" s="243"/>
      <c r="D253" s="237" t="s">
        <v>585</v>
      </c>
      <c r="E253" s="245" t="s">
        <v>586</v>
      </c>
      <c r="J253" s="246"/>
      <c r="O253" s="247"/>
    </row>
    <row r="254" spans="1:15" ht="15" customHeight="1">
      <c r="A254" s="243"/>
      <c r="D254" s="1017" t="s">
        <v>587</v>
      </c>
      <c r="E254" s="1017"/>
      <c r="J254" s="246"/>
      <c r="O254" s="247"/>
    </row>
    <row r="255" spans="1:15" ht="15" customHeight="1">
      <c r="A255" s="243"/>
      <c r="D255" s="244" t="s">
        <v>588</v>
      </c>
      <c r="J255" s="246"/>
      <c r="O255" s="247"/>
    </row>
    <row r="256" spans="1:15" ht="15" customHeight="1">
      <c r="A256" s="243"/>
      <c r="D256" s="179" t="s">
        <v>1167</v>
      </c>
      <c r="E256" s="200">
        <f>ROUND(0.0924*36000*0.15*1*0.5/57,2)</f>
        <v>4.38</v>
      </c>
      <c r="F256" s="245" t="s">
        <v>153</v>
      </c>
      <c r="J256" s="246"/>
      <c r="O256" s="247"/>
    </row>
    <row r="257" spans="1:15" ht="15" customHeight="1">
      <c r="A257" s="243"/>
      <c r="J257" s="246"/>
      <c r="O257" s="247"/>
    </row>
    <row r="258" spans="1:15" ht="15" customHeight="1">
      <c r="A258" s="243"/>
      <c r="B258" s="237" t="s">
        <v>1218</v>
      </c>
      <c r="C258" s="244" t="s">
        <v>589</v>
      </c>
      <c r="J258" s="246"/>
      <c r="O258" s="247"/>
    </row>
    <row r="259" spans="1:15" ht="15" customHeight="1">
      <c r="A259" s="243"/>
      <c r="D259" s="237" t="s">
        <v>585</v>
      </c>
      <c r="E259" s="245" t="s">
        <v>586</v>
      </c>
      <c r="J259" s="246"/>
      <c r="O259" s="247"/>
    </row>
    <row r="260" spans="1:15" ht="15" customHeight="1">
      <c r="A260" s="243"/>
      <c r="D260" s="237" t="s">
        <v>587</v>
      </c>
      <c r="J260" s="246"/>
      <c r="O260" s="247"/>
    </row>
    <row r="261" spans="1:15" ht="15" customHeight="1">
      <c r="A261" s="243"/>
      <c r="D261" s="1017" t="s">
        <v>590</v>
      </c>
      <c r="E261" s="1017"/>
      <c r="F261" s="1017"/>
      <c r="J261" s="246"/>
      <c r="O261" s="247"/>
    </row>
    <row r="262" spans="1:15" ht="15" customHeight="1">
      <c r="A262" s="243"/>
      <c r="D262" s="200" t="s">
        <v>1167</v>
      </c>
      <c r="E262" s="245">
        <f>ROUND(0.0924*36000*0.1*1*0.5/57,2)</f>
        <v>2.92</v>
      </c>
      <c r="F262" s="237" t="s">
        <v>153</v>
      </c>
      <c r="J262" s="246"/>
      <c r="O262" s="247"/>
    </row>
    <row r="263" spans="1:15" ht="15" customHeight="1">
      <c r="A263" s="243"/>
      <c r="B263" s="237" t="s">
        <v>1218</v>
      </c>
      <c r="C263" s="244" t="s">
        <v>1195</v>
      </c>
      <c r="J263" s="246"/>
      <c r="O263" s="247"/>
    </row>
    <row r="264" spans="1:15" ht="15" customHeight="1">
      <c r="A264" s="243"/>
      <c r="D264" s="237" t="s">
        <v>1196</v>
      </c>
      <c r="F264" s="237">
        <v>0.7</v>
      </c>
      <c r="G264" s="237" t="s">
        <v>1014</v>
      </c>
      <c r="J264" s="246"/>
      <c r="O264" s="247"/>
    </row>
    <row r="265" spans="1:15" ht="15" customHeight="1">
      <c r="A265" s="243"/>
      <c r="C265" s="179" t="s">
        <v>147</v>
      </c>
      <c r="D265" s="180">
        <v>5.5</v>
      </c>
      <c r="E265" s="245" t="s">
        <v>153</v>
      </c>
      <c r="J265" s="246"/>
      <c r="O265" s="247"/>
    </row>
    <row r="266" spans="1:15" ht="15" customHeight="1">
      <c r="A266" s="243"/>
      <c r="B266" s="237" t="s">
        <v>1218</v>
      </c>
      <c r="C266" s="244" t="s">
        <v>1197</v>
      </c>
      <c r="J266" s="246"/>
      <c r="O266" s="247"/>
    </row>
    <row r="267" spans="1:15" ht="15" customHeight="1">
      <c r="A267" s="243"/>
      <c r="D267" s="237" t="s">
        <v>1196</v>
      </c>
      <c r="F267" s="237">
        <v>0.7</v>
      </c>
      <c r="G267" s="237" t="s">
        <v>1014</v>
      </c>
      <c r="J267" s="246"/>
      <c r="O267" s="247"/>
    </row>
    <row r="268" spans="1:15" ht="15" customHeight="1">
      <c r="A268" s="243"/>
      <c r="C268" s="200" t="s">
        <v>147</v>
      </c>
      <c r="D268" s="262">
        <v>5</v>
      </c>
      <c r="E268" s="245" t="s">
        <v>153</v>
      </c>
      <c r="J268" s="246"/>
      <c r="O268" s="247"/>
    </row>
    <row r="269" spans="1:15" ht="15" customHeight="1">
      <c r="A269" s="243"/>
      <c r="D269" s="258"/>
      <c r="J269" s="246"/>
      <c r="O269" s="247"/>
    </row>
    <row r="270" spans="1:15" ht="15" customHeight="1">
      <c r="A270" s="243"/>
      <c r="B270" s="237" t="s">
        <v>1218</v>
      </c>
      <c r="C270" s="244" t="s">
        <v>1258</v>
      </c>
      <c r="J270" s="246"/>
      <c r="O270" s="247"/>
    </row>
    <row r="271" spans="1:15" ht="15" customHeight="1">
      <c r="A271" s="243"/>
      <c r="D271" s="244" t="s">
        <v>1196</v>
      </c>
      <c r="F271" s="237">
        <v>0.7</v>
      </c>
      <c r="G271" s="237" t="s">
        <v>1014</v>
      </c>
      <c r="J271" s="246"/>
      <c r="O271" s="247"/>
    </row>
    <row r="272" spans="1:15" ht="15" customHeight="1">
      <c r="A272" s="243"/>
      <c r="C272" s="200" t="s">
        <v>147</v>
      </c>
      <c r="D272" s="258">
        <v>3.4</v>
      </c>
      <c r="E272" s="245" t="s">
        <v>153</v>
      </c>
      <c r="J272" s="246"/>
      <c r="O272" s="247"/>
    </row>
    <row r="273" spans="1:15" ht="15" customHeight="1">
      <c r="A273" s="243"/>
      <c r="D273" s="258"/>
      <c r="J273" s="246"/>
      <c r="O273" s="247"/>
    </row>
    <row r="274" spans="1:15" ht="15" customHeight="1">
      <c r="A274" s="243"/>
      <c r="B274" s="237" t="s">
        <v>1218</v>
      </c>
      <c r="C274" s="250" t="s">
        <v>1259</v>
      </c>
      <c r="J274" s="246"/>
      <c r="O274" s="247"/>
    </row>
    <row r="275" spans="1:15" ht="15" customHeight="1">
      <c r="A275" s="243"/>
      <c r="D275" s="237" t="s">
        <v>1196</v>
      </c>
      <c r="F275" s="237">
        <v>0.7</v>
      </c>
      <c r="G275" s="237" t="s">
        <v>1014</v>
      </c>
      <c r="J275" s="246"/>
      <c r="O275" s="247"/>
    </row>
    <row r="276" spans="1:15" ht="15" customHeight="1">
      <c r="A276" s="263"/>
      <c r="B276" s="264"/>
      <c r="C276" s="528" t="s">
        <v>147</v>
      </c>
      <c r="D276" s="533">
        <v>4.5999999999999996</v>
      </c>
      <c r="E276" s="266" t="s">
        <v>153</v>
      </c>
      <c r="F276" s="264"/>
      <c r="G276" s="264"/>
      <c r="H276" s="266"/>
      <c r="I276" s="264"/>
      <c r="J276" s="267"/>
      <c r="K276" s="266"/>
      <c r="L276" s="264"/>
      <c r="M276" s="266"/>
      <c r="N276" s="264"/>
      <c r="O276" s="268"/>
    </row>
    <row r="277" spans="1:15" ht="15" customHeight="1">
      <c r="A277" s="270"/>
      <c r="B277" s="271"/>
      <c r="C277" s="271"/>
      <c r="D277" s="534"/>
      <c r="E277" s="272"/>
      <c r="F277" s="271"/>
      <c r="G277" s="271"/>
      <c r="H277" s="272"/>
      <c r="I277" s="271"/>
      <c r="J277" s="273"/>
      <c r="K277" s="272"/>
      <c r="L277" s="271"/>
      <c r="M277" s="272"/>
      <c r="N277" s="271"/>
      <c r="O277" s="242"/>
    </row>
    <row r="278" spans="1:15" ht="15" customHeight="1">
      <c r="A278" s="243"/>
      <c r="B278" s="237" t="s">
        <v>1218</v>
      </c>
      <c r="C278" s="244" t="s">
        <v>1260</v>
      </c>
      <c r="J278" s="246"/>
      <c r="O278" s="247"/>
    </row>
    <row r="279" spans="1:15" ht="15" customHeight="1">
      <c r="A279" s="243"/>
      <c r="D279" s="237" t="s">
        <v>1196</v>
      </c>
      <c r="F279" s="237">
        <v>0.7</v>
      </c>
      <c r="G279" s="237" t="s">
        <v>1014</v>
      </c>
      <c r="J279" s="246"/>
      <c r="O279" s="247"/>
    </row>
    <row r="280" spans="1:15" ht="15" customHeight="1">
      <c r="A280" s="243"/>
      <c r="C280" s="200" t="s">
        <v>147</v>
      </c>
      <c r="D280" s="258">
        <v>3.6</v>
      </c>
      <c r="E280" s="245" t="s">
        <v>153</v>
      </c>
      <c r="J280" s="246"/>
      <c r="O280" s="247"/>
    </row>
    <row r="281" spans="1:15" ht="15" customHeight="1">
      <c r="A281" s="243"/>
      <c r="J281" s="246"/>
      <c r="O281" s="247"/>
    </row>
    <row r="282" spans="1:15" ht="15" customHeight="1">
      <c r="A282" s="243"/>
      <c r="B282" s="237" t="s">
        <v>1218</v>
      </c>
      <c r="C282" s="244" t="s">
        <v>1401</v>
      </c>
      <c r="J282" s="246"/>
      <c r="O282" s="247"/>
    </row>
    <row r="283" spans="1:15" ht="15" customHeight="1">
      <c r="A283" s="243"/>
      <c r="D283" s="1017" t="s">
        <v>1196</v>
      </c>
      <c r="E283" s="1017"/>
      <c r="F283" s="237">
        <v>0.7</v>
      </c>
      <c r="G283" s="237" t="s">
        <v>1014</v>
      </c>
      <c r="J283" s="246"/>
      <c r="O283" s="247"/>
    </row>
    <row r="284" spans="1:15" ht="15" customHeight="1">
      <c r="A284" s="243"/>
      <c r="C284" s="200" t="s">
        <v>147</v>
      </c>
      <c r="D284" s="258">
        <v>2.4500000000000002</v>
      </c>
      <c r="E284" s="245" t="s">
        <v>153</v>
      </c>
      <c r="J284" s="246"/>
      <c r="O284" s="247"/>
    </row>
    <row r="285" spans="1:15" ht="15" customHeight="1">
      <c r="A285" s="243"/>
      <c r="J285" s="246"/>
      <c r="O285" s="247"/>
    </row>
    <row r="286" spans="1:15" ht="15" customHeight="1">
      <c r="A286" s="243"/>
      <c r="B286" s="237" t="s">
        <v>1218</v>
      </c>
      <c r="C286" s="244" t="s">
        <v>1402</v>
      </c>
      <c r="J286" s="246"/>
      <c r="O286" s="247"/>
    </row>
    <row r="287" spans="1:15" ht="15" customHeight="1">
      <c r="A287" s="243"/>
      <c r="D287" s="179" t="s">
        <v>1196</v>
      </c>
      <c r="E287" s="249"/>
      <c r="F287" s="234">
        <v>0.7</v>
      </c>
      <c r="G287" s="235" t="s">
        <v>1014</v>
      </c>
      <c r="H287" s="249"/>
      <c r="I287" s="179"/>
      <c r="J287" s="246"/>
      <c r="L287" s="245"/>
      <c r="O287" s="247"/>
    </row>
    <row r="288" spans="1:15" ht="15" customHeight="1">
      <c r="A288" s="243"/>
      <c r="C288" s="237" t="s">
        <v>147</v>
      </c>
      <c r="D288" s="179">
        <v>2.0499999999999998</v>
      </c>
      <c r="E288" s="249" t="s">
        <v>153</v>
      </c>
      <c r="H288" s="249"/>
      <c r="I288" s="246"/>
      <c r="J288" s="246"/>
      <c r="O288" s="247"/>
    </row>
    <row r="289" spans="1:15" ht="15" customHeight="1">
      <c r="A289" s="243"/>
      <c r="D289" s="1017"/>
      <c r="E289" s="1017"/>
      <c r="F289" s="1017"/>
      <c r="I289" s="179"/>
      <c r="J289" s="259"/>
      <c r="K289" s="237"/>
      <c r="L289" s="259"/>
      <c r="O289" s="247"/>
    </row>
    <row r="290" spans="1:15" ht="15" customHeight="1">
      <c r="A290" s="243"/>
      <c r="B290" s="237" t="s">
        <v>1218</v>
      </c>
      <c r="C290" s="237" t="s">
        <v>148</v>
      </c>
      <c r="D290" s="200"/>
      <c r="E290" s="200"/>
      <c r="F290" s="245"/>
      <c r="G290" s="179" t="s">
        <v>1221</v>
      </c>
      <c r="H290" s="245">
        <f>운반거리!F14</f>
        <v>15.5</v>
      </c>
      <c r="I290" s="237" t="s">
        <v>149</v>
      </c>
      <c r="J290" s="246"/>
      <c r="O290" s="247"/>
    </row>
    <row r="291" spans="1:15" ht="15" customHeight="1">
      <c r="A291" s="243"/>
      <c r="D291" s="244" t="s">
        <v>150</v>
      </c>
      <c r="J291" s="246"/>
      <c r="O291" s="247"/>
    </row>
    <row r="292" spans="1:15" ht="15" customHeight="1">
      <c r="A292" s="243"/>
      <c r="D292" s="250" t="str">
        <f>CONCATENATE("소요시간 : (",H290,"/40)*2 =")</f>
        <v>소요시간 : (15.5/40)*2 =</v>
      </c>
      <c r="G292" s="245">
        <f>ROUND((H290/40)*2,2)</f>
        <v>0.78</v>
      </c>
      <c r="H292" s="245" t="s">
        <v>151</v>
      </c>
      <c r="J292" s="246"/>
      <c r="O292" s="247"/>
    </row>
    <row r="293" spans="1:15" ht="15" customHeight="1">
      <c r="A293" s="243"/>
      <c r="D293" s="244" t="s">
        <v>1403</v>
      </c>
      <c r="J293" s="246"/>
      <c r="O293" s="247"/>
    </row>
    <row r="294" spans="1:15" ht="15" customHeight="1">
      <c r="A294" s="243"/>
      <c r="D294" s="250" t="str">
        <f>CONCATENATE("소요시간 : (",H290,"/40)*2 =")</f>
        <v>소요시간 : (15.5/40)*2 =</v>
      </c>
      <c r="G294" s="245">
        <f>ROUND((((H290/25))*2)/10*10,2)</f>
        <v>1.24</v>
      </c>
      <c r="H294" s="245" t="s">
        <v>151</v>
      </c>
      <c r="J294" s="246"/>
      <c r="O294" s="247"/>
    </row>
    <row r="295" spans="1:15" ht="15" customHeight="1">
      <c r="A295" s="243"/>
      <c r="D295" s="244" t="s">
        <v>152</v>
      </c>
      <c r="J295" s="246"/>
      <c r="O295" s="247"/>
    </row>
    <row r="296" spans="1:15" ht="15" customHeight="1">
      <c r="A296" s="263"/>
      <c r="B296" s="264"/>
      <c r="C296" s="264"/>
      <c r="D296" s="265" t="str">
        <f>CONCATENATE("소요시간 : (",H290,"/40)*4+0.67 =")</f>
        <v>소요시간 : (15.5/40)*4+0.67 =</v>
      </c>
      <c r="E296" s="266"/>
      <c r="F296" s="264"/>
      <c r="G296" s="264">
        <f>ROUND((((H290/40)*4)+0.67),2)</f>
        <v>2.2200000000000002</v>
      </c>
      <c r="H296" s="264" t="s">
        <v>151</v>
      </c>
      <c r="I296" s="264"/>
      <c r="J296" s="267"/>
      <c r="K296" s="266"/>
      <c r="L296" s="264"/>
      <c r="M296" s="266"/>
      <c r="N296" s="264"/>
      <c r="O296" s="268"/>
    </row>
  </sheetData>
  <customSheetViews>
    <customSheetView guid="{D73D5080-A04E-11D4-B8A5-00609727EAB1}" showPageBreaks="1" showRuler="0" topLeftCell="A477">
      <selection activeCell="H481" sqref="H481"/>
      <pageMargins left="0.75" right="0.75" top="1" bottom="0.85" header="0.5" footer="0.5"/>
      <pageSetup paperSize="9" orientation="landscape" horizontalDpi="300" verticalDpi="300" r:id="rId1"/>
      <headerFooter alignWithMargins="0"/>
    </customSheetView>
    <customSheetView guid="{2D877E0D-A04C-11D4-947E-00001C044B2C}" showRuler="0" topLeftCell="D111">
      <pageMargins left="0.75" right="0.75" top="1" bottom="0.85" header="0.5" footer="0.5"/>
      <pageSetup paperSize="9" orientation="landscape" horizontalDpi="300" verticalDpi="300" r:id="rId2"/>
      <headerFooter alignWithMargins="0"/>
    </customSheetView>
    <customSheetView guid="{6F21C780-A002-11D4-A1D9-00104BD549C6}" showRuler="0" topLeftCell="D111">
      <pageMargins left="0.75" right="0.75" top="1" bottom="0.85" header="0.5" footer="0.5"/>
      <pageSetup paperSize="9" orientation="landscape" horizontalDpi="300" verticalDpi="300" r:id="rId3"/>
      <headerFooter alignWithMargins="0"/>
    </customSheetView>
  </customSheetViews>
  <mergeCells count="67">
    <mergeCell ref="D102:F102"/>
    <mergeCell ref="I204:J204"/>
    <mergeCell ref="I195:J195"/>
    <mergeCell ref="I198:K198"/>
    <mergeCell ref="D170:G170"/>
    <mergeCell ref="D171:G171"/>
    <mergeCell ref="I174:J174"/>
    <mergeCell ref="D178:F178"/>
    <mergeCell ref="D180:E180"/>
    <mergeCell ref="I138:J138"/>
    <mergeCell ref="I141:K141"/>
    <mergeCell ref="D120:F120"/>
    <mergeCell ref="D122:E122"/>
    <mergeCell ref="D127:G127"/>
    <mergeCell ref="D156:G156"/>
    <mergeCell ref="D192:G192"/>
    <mergeCell ref="D289:F289"/>
    <mergeCell ref="D201:E201"/>
    <mergeCell ref="D250:E250"/>
    <mergeCell ref="D199:F199"/>
    <mergeCell ref="D210:E210"/>
    <mergeCell ref="D283:E283"/>
    <mergeCell ref="D208:F208"/>
    <mergeCell ref="D261:F261"/>
    <mergeCell ref="D254:E254"/>
    <mergeCell ref="D128:F128"/>
    <mergeCell ref="D142:F142"/>
    <mergeCell ref="D112:G112"/>
    <mergeCell ref="D113:F113"/>
    <mergeCell ref="D144:E144"/>
    <mergeCell ref="D185:G185"/>
    <mergeCell ref="D186:G186"/>
    <mergeCell ref="D101:G101"/>
    <mergeCell ref="D36:G36"/>
    <mergeCell ref="D42:G42"/>
    <mergeCell ref="D43:G43"/>
    <mergeCell ref="D66:G66"/>
    <mergeCell ref="D54:G54"/>
    <mergeCell ref="D60:G60"/>
    <mergeCell ref="D72:G72"/>
    <mergeCell ref="D55:F55"/>
    <mergeCell ref="D48:G48"/>
    <mergeCell ref="D61:G61"/>
    <mergeCell ref="D84:F84"/>
    <mergeCell ref="D96:F96"/>
    <mergeCell ref="D155:G155"/>
    <mergeCell ref="D6:G6"/>
    <mergeCell ref="D7:G7"/>
    <mergeCell ref="D12:G12"/>
    <mergeCell ref="D13:G13"/>
    <mergeCell ref="D18:G18"/>
    <mergeCell ref="D19:G19"/>
    <mergeCell ref="I159:J159"/>
    <mergeCell ref="D163:F163"/>
    <mergeCell ref="D165:E165"/>
    <mergeCell ref="D37:G37"/>
    <mergeCell ref="D49:F49"/>
    <mergeCell ref="D95:G95"/>
    <mergeCell ref="D67:F67"/>
    <mergeCell ref="D73:G73"/>
    <mergeCell ref="D77:G77"/>
    <mergeCell ref="D78:G78"/>
    <mergeCell ref="D25:G25"/>
    <mergeCell ref="D31:G31"/>
    <mergeCell ref="D30:G30"/>
    <mergeCell ref="I116:J116"/>
    <mergeCell ref="I119:K119"/>
  </mergeCells>
  <phoneticPr fontId="3" type="noConversion"/>
  <printOptions horizontalCentered="1"/>
  <pageMargins left="0.47244094488188981" right="0.47244094488188981" top="0.78740157480314965" bottom="0.59055118110236227" header="0.39370078740157483" footer="0.39370078740157483"/>
  <pageSetup paperSize="9" scale="97" orientation="landscape" r:id="rId4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6"/>
  <dimension ref="A1:G39"/>
  <sheetViews>
    <sheetView workbookViewId="0">
      <selection activeCell="D9" sqref="D9"/>
    </sheetView>
  </sheetViews>
  <sheetFormatPr defaultColWidth="9.44140625" defaultRowHeight="15" customHeight="1"/>
  <cols>
    <col min="1" max="1" width="24.109375" style="14" customWidth="1"/>
    <col min="2" max="2" width="20.33203125" style="14" customWidth="1"/>
    <col min="3" max="6" width="12.21875" style="10" customWidth="1"/>
    <col min="7" max="7" width="25.44140625" style="10" customWidth="1"/>
    <col min="8" max="16384" width="9.44140625" style="10"/>
  </cols>
  <sheetData>
    <row r="1" spans="1:7" ht="15" customHeight="1">
      <c r="A1" s="4" t="s">
        <v>1386</v>
      </c>
      <c r="C1" s="94"/>
      <c r="D1" s="94"/>
      <c r="E1" s="94"/>
      <c r="F1" s="94"/>
      <c r="G1" s="94"/>
    </row>
    <row r="2" spans="1:7" ht="15" customHeight="1">
      <c r="A2" s="1104" t="s">
        <v>898</v>
      </c>
      <c r="B2" s="1104" t="s">
        <v>1322</v>
      </c>
      <c r="C2" s="1104" t="s">
        <v>696</v>
      </c>
      <c r="D2" s="1104"/>
      <c r="E2" s="1104"/>
      <c r="F2" s="1104"/>
      <c r="G2" s="1104" t="s">
        <v>1324</v>
      </c>
    </row>
    <row r="3" spans="1:7" ht="15" customHeight="1">
      <c r="A3" s="1104"/>
      <c r="B3" s="1104"/>
      <c r="C3" s="600" t="s">
        <v>617</v>
      </c>
      <c r="D3" s="600" t="s">
        <v>1168</v>
      </c>
      <c r="E3" s="600" t="s">
        <v>1169</v>
      </c>
      <c r="F3" s="600" t="s">
        <v>1323</v>
      </c>
      <c r="G3" s="1104"/>
    </row>
    <row r="4" spans="1:7" ht="15" customHeight="1">
      <c r="A4" s="74" t="s">
        <v>899</v>
      </c>
      <c r="B4" s="74" t="s">
        <v>210</v>
      </c>
      <c r="C4" s="67">
        <f t="shared" ref="C4:C24" si="0">D4+E4+F4</f>
        <v>110523</v>
      </c>
      <c r="D4" s="67">
        <f>중기내역!F11</f>
        <v>57077</v>
      </c>
      <c r="E4" s="67">
        <f>중기내역!F22</f>
        <v>25884</v>
      </c>
      <c r="F4" s="67">
        <f>중기내역!F24</f>
        <v>27562</v>
      </c>
      <c r="G4" s="129"/>
    </row>
    <row r="5" spans="1:7" ht="15" customHeight="1">
      <c r="A5" s="74"/>
      <c r="B5" s="74" t="s">
        <v>211</v>
      </c>
      <c r="C5" s="67">
        <f t="shared" si="0"/>
        <v>109380</v>
      </c>
      <c r="D5" s="67">
        <f>중기내역!F43</f>
        <v>57077</v>
      </c>
      <c r="E5" s="67">
        <f>중기내역!F54</f>
        <v>27446</v>
      </c>
      <c r="F5" s="67">
        <f>중기내역!F56</f>
        <v>24857</v>
      </c>
      <c r="G5" s="129"/>
    </row>
    <row r="6" spans="1:7" ht="15" customHeight="1">
      <c r="A6" s="74"/>
      <c r="B6" s="74" t="s">
        <v>212</v>
      </c>
      <c r="C6" s="67">
        <f t="shared" si="0"/>
        <v>129946</v>
      </c>
      <c r="D6" s="67">
        <f>중기내역!F77</f>
        <v>57077</v>
      </c>
      <c r="E6" s="67">
        <f>중기내역!F87</f>
        <v>44323</v>
      </c>
      <c r="F6" s="67">
        <f>중기내역!F89</f>
        <v>28546</v>
      </c>
      <c r="G6" s="129"/>
    </row>
    <row r="7" spans="1:7" ht="15" customHeight="1">
      <c r="A7" s="74" t="s">
        <v>994</v>
      </c>
      <c r="B7" s="74" t="s">
        <v>900</v>
      </c>
      <c r="C7" s="67">
        <f t="shared" si="0"/>
        <v>100038</v>
      </c>
      <c r="D7" s="67">
        <f>중기내역!F109</f>
        <v>57077</v>
      </c>
      <c r="E7" s="67">
        <f>중기내역!F121</f>
        <v>21629</v>
      </c>
      <c r="F7" s="67">
        <f>중기내역!F123</f>
        <v>21332</v>
      </c>
      <c r="G7" s="129"/>
    </row>
    <row r="8" spans="1:7" ht="15" customHeight="1">
      <c r="A8" s="74"/>
      <c r="B8" s="74" t="s">
        <v>901</v>
      </c>
      <c r="C8" s="67">
        <f t="shared" si="0"/>
        <v>100038</v>
      </c>
      <c r="D8" s="67">
        <f>중기내역!F173</f>
        <v>57077</v>
      </c>
      <c r="E8" s="67">
        <f>중기내역!F181</f>
        <v>21629</v>
      </c>
      <c r="F8" s="67">
        <f>중기내역!F192</f>
        <v>21332</v>
      </c>
      <c r="G8" s="129"/>
    </row>
    <row r="9" spans="1:7" ht="15" customHeight="1">
      <c r="A9" s="74"/>
      <c r="B9" s="74" t="s">
        <v>2376</v>
      </c>
      <c r="C9" s="67">
        <f t="shared" si="0"/>
        <v>78833</v>
      </c>
      <c r="D9" s="70">
        <f>중기내역!F141</f>
        <v>57077</v>
      </c>
      <c r="E9" s="67">
        <f>중기내역!F149</f>
        <v>9246</v>
      </c>
      <c r="F9" s="67">
        <f>중기내역!F151</f>
        <v>12510</v>
      </c>
      <c r="G9" s="129"/>
    </row>
    <row r="10" spans="1:7" ht="15" customHeight="1">
      <c r="A10" s="74"/>
      <c r="B10" s="74" t="s">
        <v>902</v>
      </c>
      <c r="C10" s="67">
        <f t="shared" si="0"/>
        <v>110377.60000000001</v>
      </c>
      <c r="D10" s="67">
        <f>중기내역!F205</f>
        <v>57077</v>
      </c>
      <c r="E10" s="67">
        <f>중기내역!F213</f>
        <v>21629.600000000002</v>
      </c>
      <c r="F10" s="67">
        <f>중기내역!F224</f>
        <v>31671</v>
      </c>
      <c r="G10" s="129"/>
    </row>
    <row r="11" spans="1:7" ht="15" customHeight="1">
      <c r="A11" s="74"/>
      <c r="B11" s="74" t="s">
        <v>2001</v>
      </c>
      <c r="C11" s="67">
        <f>D11+E11+F11</f>
        <v>119262</v>
      </c>
      <c r="D11" s="67">
        <f>중기내역!F237</f>
        <v>57077</v>
      </c>
      <c r="E11" s="67">
        <f>중기내역!F249</f>
        <v>36360</v>
      </c>
      <c r="F11" s="67">
        <f>중기내역!F251</f>
        <v>25825</v>
      </c>
      <c r="G11" s="129"/>
    </row>
    <row r="12" spans="1:7" ht="15" customHeight="1">
      <c r="A12" s="74" t="s">
        <v>701</v>
      </c>
      <c r="B12" s="74" t="s">
        <v>1748</v>
      </c>
      <c r="C12" s="67">
        <f t="shared" si="0"/>
        <v>80280</v>
      </c>
      <c r="D12" s="67">
        <f>중기내역!F269</f>
        <v>57077</v>
      </c>
      <c r="E12" s="67">
        <f>중기내역!F280</f>
        <v>10637</v>
      </c>
      <c r="F12" s="67">
        <f>중기내역!F282</f>
        <v>12566</v>
      </c>
      <c r="G12" s="129"/>
    </row>
    <row r="13" spans="1:7" ht="15" customHeight="1">
      <c r="A13" s="74"/>
      <c r="B13" s="74" t="s">
        <v>1749</v>
      </c>
      <c r="C13" s="67">
        <f t="shared" si="0"/>
        <v>96678</v>
      </c>
      <c r="D13" s="67">
        <f>중기내역!F301</f>
        <v>57077</v>
      </c>
      <c r="E13" s="67">
        <f>중기내역!F311</f>
        <v>15772</v>
      </c>
      <c r="F13" s="67">
        <f>중기내역!F313</f>
        <v>23829</v>
      </c>
      <c r="G13" s="129"/>
    </row>
    <row r="14" spans="1:7" ht="15" customHeight="1">
      <c r="A14" s="74" t="s">
        <v>1744</v>
      </c>
      <c r="B14" s="74" t="s">
        <v>702</v>
      </c>
      <c r="C14" s="67">
        <f t="shared" si="0"/>
        <v>90112</v>
      </c>
      <c r="D14" s="67">
        <f>중기내역!F333</f>
        <v>49479</v>
      </c>
      <c r="E14" s="67">
        <f>중기내역!F343</f>
        <v>18890</v>
      </c>
      <c r="F14" s="67">
        <f>중기내역!F345</f>
        <v>21743</v>
      </c>
      <c r="G14" s="129"/>
    </row>
    <row r="15" spans="1:7" ht="15" customHeight="1">
      <c r="A15" s="74"/>
      <c r="B15" s="74" t="s">
        <v>1750</v>
      </c>
      <c r="C15" s="67">
        <f t="shared" si="0"/>
        <v>95710</v>
      </c>
      <c r="D15" s="67">
        <f>중기내역!F365</f>
        <v>49479</v>
      </c>
      <c r="E15" s="67">
        <f>중기내역!F375</f>
        <v>20174</v>
      </c>
      <c r="F15" s="67">
        <f>중기내역!F377</f>
        <v>26057</v>
      </c>
      <c r="G15" s="129"/>
    </row>
    <row r="16" spans="1:7" ht="15" customHeight="1">
      <c r="A16" s="74" t="s">
        <v>679</v>
      </c>
      <c r="B16" s="74" t="s">
        <v>903</v>
      </c>
      <c r="C16" s="67">
        <f t="shared" si="0"/>
        <v>132744</v>
      </c>
      <c r="D16" s="67">
        <f>중기내역!F397</f>
        <v>57077</v>
      </c>
      <c r="E16" s="67">
        <f>중기내역!F407</f>
        <v>34415</v>
      </c>
      <c r="F16" s="67">
        <f>중기내역!F409</f>
        <v>41252</v>
      </c>
      <c r="G16" s="129"/>
    </row>
    <row r="17" spans="1:7" ht="15" customHeight="1">
      <c r="A17" s="74" t="s">
        <v>904</v>
      </c>
      <c r="B17" s="74" t="s">
        <v>214</v>
      </c>
      <c r="C17" s="67">
        <f t="shared" si="0"/>
        <v>109179</v>
      </c>
      <c r="D17" s="67">
        <f>중기내역!F429</f>
        <v>57077</v>
      </c>
      <c r="E17" s="67">
        <f>중기내역!F439</f>
        <v>33535</v>
      </c>
      <c r="F17" s="67">
        <f>중기내역!F441</f>
        <v>18567</v>
      </c>
      <c r="G17" s="129"/>
    </row>
    <row r="18" spans="1:7" ht="15" customHeight="1">
      <c r="A18" s="74" t="s">
        <v>904</v>
      </c>
      <c r="B18" s="74" t="s">
        <v>2005</v>
      </c>
      <c r="C18" s="67">
        <f>D18+E18+F18</f>
        <v>135052</v>
      </c>
      <c r="D18" s="67">
        <f>중기내역!F461</f>
        <v>57077</v>
      </c>
      <c r="E18" s="67">
        <f>중기내역!F471</f>
        <v>48510</v>
      </c>
      <c r="F18" s="67">
        <f>중기내역!F473</f>
        <v>29465</v>
      </c>
      <c r="G18" s="129"/>
    </row>
    <row r="19" spans="1:7" ht="15" customHeight="1">
      <c r="A19" s="74" t="s">
        <v>905</v>
      </c>
      <c r="B19" s="74" t="s">
        <v>702</v>
      </c>
      <c r="C19" s="67">
        <f t="shared" si="0"/>
        <v>109592</v>
      </c>
      <c r="D19" s="67">
        <f>중기내역!F493</f>
        <v>57077</v>
      </c>
      <c r="E19" s="67">
        <f>중기내역!F503</f>
        <v>28611</v>
      </c>
      <c r="F19" s="67">
        <f>중기내역!F505</f>
        <v>23904</v>
      </c>
      <c r="G19" s="129"/>
    </row>
    <row r="20" spans="1:7" ht="15" customHeight="1">
      <c r="A20" s="74" t="s">
        <v>906</v>
      </c>
      <c r="B20" s="74" t="s">
        <v>475</v>
      </c>
      <c r="C20" s="67">
        <f t="shared" si="0"/>
        <v>0</v>
      </c>
      <c r="D20" s="67">
        <f>중기내역!F525</f>
        <v>0</v>
      </c>
      <c r="E20" s="67">
        <f>중기내역!F533</f>
        <v>0</v>
      </c>
      <c r="F20" s="67">
        <f>중기내역!F535</f>
        <v>0</v>
      </c>
      <c r="G20" s="129"/>
    </row>
    <row r="21" spans="1:7" ht="15" customHeight="1">
      <c r="A21" s="74" t="s">
        <v>907</v>
      </c>
      <c r="B21" s="74" t="s">
        <v>476</v>
      </c>
      <c r="C21" s="67">
        <f t="shared" si="0"/>
        <v>140332</v>
      </c>
      <c r="D21" s="67">
        <f>중기내역!F557</f>
        <v>57077</v>
      </c>
      <c r="E21" s="67">
        <f>중기내역!F565</f>
        <v>49054</v>
      </c>
      <c r="F21" s="67">
        <f>중기내역!F567</f>
        <v>34201</v>
      </c>
      <c r="G21" s="129"/>
    </row>
    <row r="22" spans="1:7" ht="15" customHeight="1">
      <c r="A22" s="74" t="s">
        <v>9</v>
      </c>
      <c r="B22" s="74" t="s">
        <v>10</v>
      </c>
      <c r="C22" s="67">
        <f t="shared" si="0"/>
        <v>38171</v>
      </c>
      <c r="D22" s="67">
        <f>중기내역!F589</f>
        <v>35608</v>
      </c>
      <c r="E22" s="67">
        <f>중기내역!F597</f>
        <v>2034</v>
      </c>
      <c r="F22" s="67">
        <f>중기내역!F599</f>
        <v>529</v>
      </c>
      <c r="G22" s="129"/>
    </row>
    <row r="23" spans="1:7" ht="15" customHeight="1">
      <c r="A23" s="74" t="s">
        <v>908</v>
      </c>
      <c r="B23" s="74" t="s">
        <v>706</v>
      </c>
      <c r="C23" s="67">
        <f t="shared" si="0"/>
        <v>77886</v>
      </c>
      <c r="D23" s="67">
        <f>중기내역!F620</f>
        <v>57077</v>
      </c>
      <c r="E23" s="67">
        <f>중기내역!F628</f>
        <v>17729</v>
      </c>
      <c r="F23" s="67">
        <f>중기내역!F630</f>
        <v>3080</v>
      </c>
      <c r="G23" s="129"/>
    </row>
    <row r="24" spans="1:7" ht="15" customHeight="1">
      <c r="A24" s="74" t="s">
        <v>909</v>
      </c>
      <c r="B24" s="74" t="s">
        <v>477</v>
      </c>
      <c r="C24" s="67">
        <f t="shared" si="0"/>
        <v>2064</v>
      </c>
      <c r="D24" s="70"/>
      <c r="E24" s="67">
        <f>중기내역!F663</f>
        <v>1864</v>
      </c>
      <c r="F24" s="67">
        <f>중기내역!F672</f>
        <v>200</v>
      </c>
      <c r="G24" s="129"/>
    </row>
    <row r="25" spans="1:7" ht="15" customHeight="1">
      <c r="A25" s="74" t="s">
        <v>711</v>
      </c>
      <c r="B25" s="74" t="s">
        <v>712</v>
      </c>
      <c r="C25" s="67"/>
      <c r="D25" s="70"/>
      <c r="E25" s="67"/>
      <c r="F25" s="67">
        <v>48</v>
      </c>
      <c r="G25" s="129"/>
    </row>
    <row r="26" spans="1:7" ht="15" customHeight="1">
      <c r="A26" s="74" t="s">
        <v>705</v>
      </c>
      <c r="B26" s="74" t="s">
        <v>713</v>
      </c>
      <c r="C26" s="67">
        <f t="shared" ref="C26:C39" si="1">D26+E26+F26</f>
        <v>374</v>
      </c>
      <c r="D26" s="70"/>
      <c r="E26" s="67"/>
      <c r="F26" s="67">
        <v>374</v>
      </c>
      <c r="G26" s="129"/>
    </row>
    <row r="27" spans="1:7" ht="15" customHeight="1">
      <c r="A27" s="74" t="s">
        <v>910</v>
      </c>
      <c r="B27" s="74" t="s">
        <v>911</v>
      </c>
      <c r="C27" s="67">
        <f t="shared" si="1"/>
        <v>10339</v>
      </c>
      <c r="D27" s="67"/>
      <c r="E27" s="67"/>
      <c r="F27" s="67">
        <f>중기내역!F726</f>
        <v>10339</v>
      </c>
      <c r="G27" s="129"/>
    </row>
    <row r="28" spans="1:7" ht="15" customHeight="1">
      <c r="A28" s="74" t="s">
        <v>912</v>
      </c>
      <c r="B28" s="74" t="s">
        <v>478</v>
      </c>
      <c r="C28" s="67">
        <f t="shared" si="1"/>
        <v>38622</v>
      </c>
      <c r="D28" s="67">
        <f>중기내역!F685</f>
        <v>35608</v>
      </c>
      <c r="E28" s="67">
        <f>중기내역!F695</f>
        <v>2384</v>
      </c>
      <c r="F28" s="67">
        <f>중기내역!F697</f>
        <v>630</v>
      </c>
      <c r="G28" s="129"/>
    </row>
    <row r="29" spans="1:7" ht="15" customHeight="1">
      <c r="A29" s="74" t="s">
        <v>913</v>
      </c>
      <c r="B29" s="74" t="s">
        <v>914</v>
      </c>
      <c r="C29" s="67">
        <f t="shared" si="1"/>
        <v>48459</v>
      </c>
      <c r="D29" s="67">
        <f>중기내역!F750</f>
        <v>35608</v>
      </c>
      <c r="E29" s="67">
        <f>중기내역!F759</f>
        <v>11391</v>
      </c>
      <c r="F29" s="67">
        <f>중기내역!F761</f>
        <v>1460</v>
      </c>
      <c r="G29" s="129"/>
    </row>
    <row r="30" spans="1:7" ht="15" customHeight="1">
      <c r="A30" s="74" t="s">
        <v>1363</v>
      </c>
      <c r="B30" s="74" t="s">
        <v>213</v>
      </c>
      <c r="C30" s="67">
        <f t="shared" si="1"/>
        <v>107144</v>
      </c>
      <c r="D30" s="67">
        <f>중기내역!F781</f>
        <v>57077</v>
      </c>
      <c r="E30" s="67">
        <f>중기내역!F791</f>
        <v>35053</v>
      </c>
      <c r="F30" s="67">
        <f>중기내역!F793</f>
        <v>15014</v>
      </c>
      <c r="G30" s="129"/>
    </row>
    <row r="31" spans="1:7" ht="15" customHeight="1">
      <c r="A31" s="74" t="s">
        <v>915</v>
      </c>
      <c r="B31" s="74" t="s">
        <v>916</v>
      </c>
      <c r="C31" s="67">
        <f t="shared" si="1"/>
        <v>76778</v>
      </c>
      <c r="D31" s="67">
        <f>중기내역!F807</f>
        <v>49479</v>
      </c>
      <c r="E31" s="67">
        <f>중기내역!F820</f>
        <v>18478</v>
      </c>
      <c r="F31" s="67">
        <f>중기내역!F822</f>
        <v>8821</v>
      </c>
      <c r="G31" s="129"/>
    </row>
    <row r="32" spans="1:7" ht="15" customHeight="1">
      <c r="A32" s="74" t="s">
        <v>917</v>
      </c>
      <c r="B32" s="74" t="s">
        <v>918</v>
      </c>
      <c r="C32" s="67">
        <f t="shared" si="1"/>
        <v>46742</v>
      </c>
      <c r="D32" s="67">
        <f>중기내역!F844</f>
        <v>35608</v>
      </c>
      <c r="E32" s="67">
        <f>중기내역!F852</f>
        <v>8149</v>
      </c>
      <c r="F32" s="67">
        <f>중기내역!F854</f>
        <v>2985</v>
      </c>
      <c r="G32" s="129"/>
    </row>
    <row r="33" spans="1:7" ht="15" customHeight="1">
      <c r="A33" s="74" t="s">
        <v>919</v>
      </c>
      <c r="B33" s="74" t="s">
        <v>479</v>
      </c>
      <c r="C33" s="67">
        <f t="shared" si="1"/>
        <v>80</v>
      </c>
      <c r="D33" s="67"/>
      <c r="E33" s="67"/>
      <c r="F33" s="67">
        <f>중기내역!F887</f>
        <v>80</v>
      </c>
      <c r="G33" s="129"/>
    </row>
    <row r="34" spans="1:7" ht="15" customHeight="1">
      <c r="A34" s="74" t="s">
        <v>1143</v>
      </c>
      <c r="B34" s="74" t="s">
        <v>694</v>
      </c>
      <c r="C34" s="67">
        <f t="shared" si="1"/>
        <v>1001</v>
      </c>
      <c r="D34" s="67"/>
      <c r="E34" s="67"/>
      <c r="F34" s="67">
        <v>1001</v>
      </c>
      <c r="G34" s="129"/>
    </row>
    <row r="35" spans="1:7" ht="15" customHeight="1">
      <c r="A35" s="74" t="s">
        <v>1143</v>
      </c>
      <c r="B35" s="74" t="s">
        <v>695</v>
      </c>
      <c r="C35" s="67">
        <f t="shared" si="1"/>
        <v>1387</v>
      </c>
      <c r="D35" s="67"/>
      <c r="E35" s="67"/>
      <c r="F35" s="67">
        <f>중기내역!F1111</f>
        <v>1387</v>
      </c>
      <c r="G35" s="129"/>
    </row>
    <row r="36" spans="1:7" ht="15" customHeight="1">
      <c r="A36" s="74" t="s">
        <v>920</v>
      </c>
      <c r="B36" s="74" t="s">
        <v>480</v>
      </c>
      <c r="C36" s="67">
        <f t="shared" si="1"/>
        <v>1071</v>
      </c>
      <c r="D36" s="70"/>
      <c r="E36" s="67">
        <f>중기내역!F912</f>
        <v>916</v>
      </c>
      <c r="F36" s="67">
        <f>중기내역!F928</f>
        <v>155</v>
      </c>
      <c r="G36" s="129"/>
    </row>
    <row r="37" spans="1:7" ht="15" customHeight="1">
      <c r="A37" s="130" t="s">
        <v>946</v>
      </c>
      <c r="B37" s="420" t="s">
        <v>954</v>
      </c>
      <c r="C37" s="67">
        <f t="shared" si="1"/>
        <v>132893</v>
      </c>
      <c r="D37" s="67">
        <f>중기내역!F941</f>
        <v>57077</v>
      </c>
      <c r="E37" s="67">
        <f>중기내역!F951</f>
        <v>30330</v>
      </c>
      <c r="F37" s="67">
        <f>중기내역!F953</f>
        <v>45486</v>
      </c>
      <c r="G37" s="129"/>
    </row>
    <row r="38" spans="1:7" ht="15" customHeight="1">
      <c r="A38" s="130" t="s">
        <v>403</v>
      </c>
      <c r="B38" s="130" t="s">
        <v>404</v>
      </c>
      <c r="C38" s="67">
        <f t="shared" si="1"/>
        <v>280</v>
      </c>
      <c r="D38" s="129"/>
      <c r="E38" s="129"/>
      <c r="F38" s="67">
        <f>중기내역!F994</f>
        <v>280</v>
      </c>
      <c r="G38" s="129"/>
    </row>
    <row r="39" spans="1:7" ht="15" customHeight="1">
      <c r="A39" s="130" t="s">
        <v>2483</v>
      </c>
      <c r="B39" s="130" t="s">
        <v>2500</v>
      </c>
      <c r="C39" s="67">
        <f t="shared" si="1"/>
        <v>64142</v>
      </c>
      <c r="D39" s="67">
        <f>중기내역!F1133</f>
        <v>47849</v>
      </c>
      <c r="E39" s="67">
        <f>중기내역!F1141</f>
        <v>13406</v>
      </c>
      <c r="F39" s="67">
        <f>중기내역!F1143</f>
        <v>2887</v>
      </c>
      <c r="G39" s="129"/>
    </row>
  </sheetData>
  <customSheetViews>
    <customSheetView guid="{D73D5080-A04E-11D4-B8A5-00609727EAB1}" showPageBreaks="1" showRuler="0">
      <selection activeCell="G73" sqref="G73"/>
      <pageMargins left="0.81" right="0.4" top="0.82" bottom="0.77" header="0.5" footer="0.27"/>
      <pageSetup paperSize="9" scale="95" orientation="landscape" horizontalDpi="300" verticalDpi="300" r:id="rId1"/>
      <headerFooter alignWithMargins="0"/>
    </customSheetView>
    <customSheetView guid="{2D877E0D-A04C-11D4-947E-00001C044B2C}" showRuler="0" topLeftCell="A118">
      <selection activeCell="J133" sqref="J133"/>
      <pageMargins left="0.81" right="0.4" top="0.82" bottom="0.77" header="0.5" footer="0.27"/>
      <pageSetup paperSize="9" scale="95" orientation="landscape" horizontalDpi="300" verticalDpi="300" r:id="rId2"/>
      <headerFooter alignWithMargins="0"/>
    </customSheetView>
    <customSheetView guid="{6F21C780-A002-11D4-A1D9-00104BD549C6}" showRuler="0" topLeftCell="A118">
      <selection activeCell="J133" sqref="J133"/>
      <pageMargins left="0.81" right="0.4" top="0.82" bottom="0.77" header="0.5" footer="0.27"/>
      <pageSetup paperSize="9" scale="95" orientation="landscape" horizontalDpi="300" verticalDpi="300" r:id="rId3"/>
      <headerFooter alignWithMargins="0"/>
    </customSheetView>
  </customSheetViews>
  <mergeCells count="4">
    <mergeCell ref="A2:A3"/>
    <mergeCell ref="B2:B3"/>
    <mergeCell ref="C2:F2"/>
    <mergeCell ref="G2:G3"/>
  </mergeCells>
  <phoneticPr fontId="3" type="noConversion"/>
  <printOptions horizontalCentered="1"/>
  <pageMargins left="0.39370078740157483" right="0.39370078740157483" top="0.78740157480314965" bottom="0.59055118110236227" header="0" footer="0"/>
  <pageSetup paperSize="9" scale="95" orientation="landscape" r:id="rId4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5"/>
  <dimension ref="A1:V1154"/>
  <sheetViews>
    <sheetView view="pageBreakPreview" topLeftCell="A129" zoomScaleNormal="100" zoomScaleSheetLayoutView="100" workbookViewId="0">
      <selection activeCell="F135" sqref="F135"/>
    </sheetView>
  </sheetViews>
  <sheetFormatPr defaultColWidth="9.44140625" defaultRowHeight="14.1" customHeight="1"/>
  <cols>
    <col min="1" max="1" width="12.6640625" style="10" customWidth="1"/>
    <col min="2" max="2" width="15.6640625" style="10" customWidth="1"/>
    <col min="3" max="3" width="7.6640625" style="10" customWidth="1"/>
    <col min="4" max="4" width="5.88671875" style="10" customWidth="1"/>
    <col min="5" max="5" width="10.109375" style="10" customWidth="1"/>
    <col min="6" max="6" width="11.109375" style="10" customWidth="1"/>
    <col min="7" max="7" width="10.44140625" style="10" customWidth="1"/>
    <col min="8" max="8" width="2" style="10" customWidth="1"/>
    <col min="9" max="9" width="2.21875" style="10" customWidth="1"/>
    <col min="10" max="10" width="1.88671875" style="10" customWidth="1"/>
    <col min="11" max="11" width="4.5546875" style="10" customWidth="1"/>
    <col min="12" max="12" width="1.88671875" style="10" customWidth="1"/>
    <col min="13" max="13" width="6.77734375" style="10" customWidth="1"/>
    <col min="14" max="14" width="1.44140625" style="10" customWidth="1"/>
    <col min="15" max="15" width="5.44140625" style="10" customWidth="1"/>
    <col min="16" max="16" width="1.77734375" style="10" customWidth="1"/>
    <col min="17" max="17" width="3.21875" style="10" customWidth="1"/>
    <col min="18" max="18" width="1.44140625" style="10" customWidth="1"/>
    <col min="19" max="19" width="4.109375" style="10" customWidth="1"/>
    <col min="20" max="20" width="3.21875" style="10" customWidth="1"/>
    <col min="21" max="21" width="9.33203125" style="10" customWidth="1"/>
    <col min="22" max="22" width="9.44140625" style="10" hidden="1" customWidth="1"/>
    <col min="23" max="23" width="14.77734375" style="10" customWidth="1"/>
    <col min="24" max="24" width="13.88671875" style="10" customWidth="1"/>
    <col min="25" max="16384" width="9.44140625" style="10"/>
  </cols>
  <sheetData>
    <row r="1" spans="1:22" ht="14.45" customHeight="1">
      <c r="A1" s="90" t="s">
        <v>163</v>
      </c>
      <c r="B1" s="94"/>
      <c r="C1" s="94"/>
      <c r="D1" s="94"/>
    </row>
    <row r="2" spans="1:22" ht="14.45" customHeight="1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</row>
    <row r="3" spans="1:22" ht="25.5" customHeight="1">
      <c r="A3" s="2" t="s">
        <v>1009</v>
      </c>
      <c r="B3" s="2" t="s">
        <v>1010</v>
      </c>
      <c r="C3" s="2" t="s">
        <v>1217</v>
      </c>
      <c r="D3" s="2" t="s">
        <v>1011</v>
      </c>
      <c r="E3" s="2" t="s">
        <v>207</v>
      </c>
      <c r="F3" s="2" t="s">
        <v>54</v>
      </c>
      <c r="G3" s="1119" t="s">
        <v>1766</v>
      </c>
      <c r="H3" s="1120"/>
      <c r="I3" s="1120"/>
      <c r="J3" s="1120"/>
      <c r="K3" s="1120"/>
      <c r="L3" s="1120"/>
      <c r="M3" s="1120"/>
      <c r="N3" s="1120"/>
      <c r="O3" s="1120"/>
      <c r="P3" s="1120"/>
      <c r="Q3" s="1120"/>
      <c r="R3" s="1120"/>
      <c r="S3" s="1120"/>
      <c r="T3" s="1120"/>
      <c r="U3" s="1121"/>
      <c r="V3" s="11"/>
    </row>
    <row r="4" spans="1:22" ht="14.45" customHeight="1">
      <c r="A4" s="11"/>
      <c r="B4" s="11"/>
      <c r="C4" s="11"/>
      <c r="D4" s="11"/>
      <c r="E4" s="96"/>
      <c r="F4" s="96"/>
      <c r="G4" s="11"/>
      <c r="U4" s="15"/>
      <c r="V4" s="11"/>
    </row>
    <row r="5" spans="1:22" ht="14.45" customHeight="1">
      <c r="A5" s="55" t="s">
        <v>1168</v>
      </c>
      <c r="B5" s="55" t="s">
        <v>164</v>
      </c>
      <c r="C5" s="11">
        <v>1</v>
      </c>
      <c r="D5" s="55" t="s">
        <v>1328</v>
      </c>
      <c r="E5" s="96">
        <f>U5</f>
        <v>57077</v>
      </c>
      <c r="F5" s="97">
        <f>U5</f>
        <v>57077</v>
      </c>
      <c r="G5" s="98">
        <f>노임!F3</f>
        <v>273971</v>
      </c>
      <c r="H5" s="14" t="s">
        <v>683</v>
      </c>
      <c r="I5" s="10">
        <v>1</v>
      </c>
      <c r="J5" s="28" t="s">
        <v>682</v>
      </c>
      <c r="K5" s="389">
        <v>8</v>
      </c>
      <c r="L5" s="14" t="s">
        <v>683</v>
      </c>
      <c r="M5" s="389">
        <v>25</v>
      </c>
      <c r="N5" s="28" t="s">
        <v>682</v>
      </c>
      <c r="O5" s="390">
        <v>20</v>
      </c>
      <c r="P5" s="14" t="s">
        <v>683</v>
      </c>
      <c r="Q5" s="389">
        <v>16</v>
      </c>
      <c r="R5" s="28" t="s">
        <v>682</v>
      </c>
      <c r="S5" s="389">
        <v>12</v>
      </c>
      <c r="T5" s="28" t="s">
        <v>1167</v>
      </c>
      <c r="U5" s="99">
        <f>INT(G5*I5/K5*M5/O5*Q5/S5)</f>
        <v>57077</v>
      </c>
      <c r="V5" s="11"/>
    </row>
    <row r="6" spans="1:22" ht="14.45" customHeight="1">
      <c r="A6" s="11"/>
      <c r="B6" s="11"/>
      <c r="C6" s="11"/>
      <c r="D6" s="11"/>
      <c r="E6" s="96"/>
      <c r="F6" s="96"/>
      <c r="G6" s="11"/>
      <c r="U6" s="100"/>
      <c r="V6" s="11"/>
    </row>
    <row r="7" spans="1:22" ht="14.45" customHeight="1">
      <c r="A7" s="11"/>
      <c r="B7" s="55" t="s">
        <v>1262</v>
      </c>
      <c r="C7" s="11"/>
      <c r="D7" s="55" t="s">
        <v>1023</v>
      </c>
      <c r="E7" s="97">
        <f>U7</f>
        <v>0</v>
      </c>
      <c r="F7" s="97">
        <f>TRUNC((C7*E7),1)</f>
        <v>0</v>
      </c>
      <c r="G7" s="98"/>
      <c r="H7" s="14" t="s">
        <v>683</v>
      </c>
      <c r="I7" s="10">
        <v>1</v>
      </c>
      <c r="J7" s="28" t="s">
        <v>682</v>
      </c>
      <c r="K7" s="10">
        <f>K5</f>
        <v>8</v>
      </c>
      <c r="L7" s="14" t="s">
        <v>683</v>
      </c>
      <c r="M7" s="10">
        <f>M5</f>
        <v>25</v>
      </c>
      <c r="N7" s="28" t="s">
        <v>682</v>
      </c>
      <c r="O7" s="16">
        <f>O5</f>
        <v>20</v>
      </c>
      <c r="P7" s="14" t="s">
        <v>683</v>
      </c>
      <c r="Q7" s="10">
        <f>Q5</f>
        <v>16</v>
      </c>
      <c r="R7" s="28" t="s">
        <v>682</v>
      </c>
      <c r="S7" s="10">
        <f>S5</f>
        <v>12</v>
      </c>
      <c r="T7" s="28" t="s">
        <v>1167</v>
      </c>
      <c r="U7" s="99">
        <f>INT(G7*I7/K7*M7/O7*Q7/S7)</f>
        <v>0</v>
      </c>
      <c r="V7" s="11"/>
    </row>
    <row r="8" spans="1:22" ht="14.45" customHeight="1">
      <c r="A8" s="11"/>
      <c r="B8" s="11"/>
      <c r="C8" s="11"/>
      <c r="D8" s="11"/>
      <c r="E8" s="96"/>
      <c r="F8" s="96"/>
      <c r="G8" s="11"/>
      <c r="U8" s="100"/>
      <c r="V8" s="11"/>
    </row>
    <row r="9" spans="1:22" ht="14.45" customHeight="1">
      <c r="A9" s="11"/>
      <c r="B9" s="55" t="s">
        <v>1263</v>
      </c>
      <c r="C9" s="11"/>
      <c r="D9" s="55" t="s">
        <v>1023</v>
      </c>
      <c r="E9" s="101">
        <f>U9</f>
        <v>0</v>
      </c>
      <c r="F9" s="97">
        <f>TRUNC((C9*E9),1)</f>
        <v>0</v>
      </c>
      <c r="G9" s="98"/>
      <c r="H9" s="14" t="s">
        <v>683</v>
      </c>
      <c r="I9" s="10">
        <v>1</v>
      </c>
      <c r="J9" s="28" t="s">
        <v>682</v>
      </c>
      <c r="K9" s="10">
        <f>K7</f>
        <v>8</v>
      </c>
      <c r="L9" s="14" t="s">
        <v>683</v>
      </c>
      <c r="M9" s="10">
        <f>M7</f>
        <v>25</v>
      </c>
      <c r="N9" s="28" t="s">
        <v>682</v>
      </c>
      <c r="O9" s="16">
        <f>O7</f>
        <v>20</v>
      </c>
      <c r="P9" s="14" t="s">
        <v>683</v>
      </c>
      <c r="Q9" s="10">
        <f>Q7</f>
        <v>16</v>
      </c>
      <c r="R9" s="28" t="s">
        <v>682</v>
      </c>
      <c r="S9" s="10">
        <f>S7</f>
        <v>12</v>
      </c>
      <c r="T9" s="28" t="s">
        <v>1167</v>
      </c>
      <c r="U9" s="99">
        <f>INT(G9*I9/K9*M9/O9*Q9/S9)</f>
        <v>0</v>
      </c>
      <c r="V9" s="11"/>
    </row>
    <row r="10" spans="1:22" ht="14.45" customHeight="1">
      <c r="A10" s="11"/>
      <c r="B10" s="11"/>
      <c r="C10" s="11"/>
      <c r="D10" s="11"/>
      <c r="E10" s="96"/>
      <c r="F10" s="96"/>
      <c r="G10" s="11"/>
      <c r="U10" s="15"/>
      <c r="V10" s="11"/>
    </row>
    <row r="11" spans="1:22" ht="14.45" customHeight="1">
      <c r="A11" s="20"/>
      <c r="B11" s="59" t="s">
        <v>1020</v>
      </c>
      <c r="C11" s="20"/>
      <c r="D11" s="20"/>
      <c r="E11" s="102"/>
      <c r="F11" s="103">
        <f>F9+F7+F5</f>
        <v>57077</v>
      </c>
      <c r="G11" s="20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2"/>
      <c r="V11" s="11"/>
    </row>
    <row r="12" spans="1:22" ht="14.45" customHeight="1">
      <c r="A12" s="11"/>
      <c r="B12" s="11"/>
      <c r="C12" s="11"/>
      <c r="D12" s="11"/>
      <c r="E12" s="11"/>
      <c r="F12" s="11"/>
      <c r="G12" s="11"/>
      <c r="U12" s="15"/>
      <c r="V12" s="11"/>
    </row>
    <row r="13" spans="1:22" ht="14.45" customHeight="1">
      <c r="A13" s="55" t="s">
        <v>1169</v>
      </c>
      <c r="B13" s="55" t="s">
        <v>1146</v>
      </c>
      <c r="C13" s="11">
        <v>14.6</v>
      </c>
      <c r="D13" s="55" t="s">
        <v>636</v>
      </c>
      <c r="E13" s="101">
        <f>자재!$F$19</f>
        <v>1528.38</v>
      </c>
      <c r="F13" s="97">
        <f>ROUNDDOWN(E13*C13,1)</f>
        <v>22314.3</v>
      </c>
      <c r="G13" s="11"/>
      <c r="U13" s="15"/>
      <c r="V13" s="11"/>
    </row>
    <row r="14" spans="1:22" ht="14.45" customHeight="1">
      <c r="A14" s="11"/>
      <c r="B14" s="11"/>
      <c r="C14" s="11"/>
      <c r="D14" s="11"/>
      <c r="E14" s="11"/>
      <c r="F14" s="11"/>
      <c r="G14" s="11"/>
      <c r="U14" s="15"/>
      <c r="V14" s="11"/>
    </row>
    <row r="15" spans="1:22" ht="14.45" customHeight="1">
      <c r="A15" s="11"/>
      <c r="B15" s="55" t="s">
        <v>483</v>
      </c>
      <c r="C15" s="11">
        <v>0.16</v>
      </c>
      <c r="D15" s="11"/>
      <c r="E15" s="101">
        <f>F13</f>
        <v>22314.3</v>
      </c>
      <c r="F15" s="97">
        <f>ROUNDDOWN(E15*C15,1)</f>
        <v>3570.2</v>
      </c>
      <c r="G15" s="11"/>
      <c r="U15" s="15"/>
      <c r="V15" s="11"/>
    </row>
    <row r="16" spans="1:22" ht="14.45" customHeight="1">
      <c r="A16" s="11"/>
      <c r="B16" s="11"/>
      <c r="C16" s="11"/>
      <c r="D16" s="11"/>
      <c r="E16" s="11"/>
      <c r="F16" s="11"/>
      <c r="G16" s="11"/>
      <c r="U16" s="15"/>
      <c r="V16" s="11"/>
    </row>
    <row r="17" spans="1:22" ht="14.45" customHeight="1">
      <c r="A17" s="11"/>
      <c r="B17" s="11"/>
      <c r="C17" s="11"/>
      <c r="D17" s="11"/>
      <c r="E17" s="11"/>
      <c r="F17" s="11"/>
      <c r="G17" s="11"/>
      <c r="U17" s="15"/>
      <c r="V17" s="11"/>
    </row>
    <row r="18" spans="1:22" ht="14.45" customHeight="1">
      <c r="A18" s="11"/>
      <c r="B18" s="11"/>
      <c r="C18" s="11"/>
      <c r="D18" s="11"/>
      <c r="E18" s="11"/>
      <c r="F18" s="11"/>
      <c r="G18" s="11"/>
      <c r="U18" s="15"/>
      <c r="V18" s="11"/>
    </row>
    <row r="19" spans="1:22" ht="9.75" customHeight="1">
      <c r="A19" s="11"/>
      <c r="B19" s="11"/>
      <c r="C19" s="11"/>
      <c r="D19" s="11"/>
      <c r="E19" s="11"/>
      <c r="F19" s="11"/>
      <c r="G19" s="11"/>
      <c r="U19" s="15"/>
      <c r="V19" s="11"/>
    </row>
    <row r="20" spans="1:22" ht="14.45" customHeight="1">
      <c r="A20" s="11"/>
      <c r="B20" s="11"/>
      <c r="C20" s="11"/>
      <c r="D20" s="11"/>
      <c r="E20" s="11"/>
      <c r="F20" s="11"/>
      <c r="G20" s="11"/>
      <c r="U20" s="15"/>
      <c r="V20" s="11"/>
    </row>
    <row r="21" spans="1:22" ht="14.45" customHeight="1">
      <c r="A21" s="11"/>
      <c r="B21" s="11"/>
      <c r="C21" s="11"/>
      <c r="D21" s="11"/>
      <c r="E21" s="11"/>
      <c r="F21" s="11"/>
      <c r="G21" s="11"/>
      <c r="U21" s="15"/>
      <c r="V21" s="11"/>
    </row>
    <row r="22" spans="1:22" ht="14.45" customHeight="1">
      <c r="A22" s="20"/>
      <c r="B22" s="59" t="s">
        <v>1020</v>
      </c>
      <c r="C22" s="20"/>
      <c r="D22" s="20"/>
      <c r="E22" s="20"/>
      <c r="F22" s="103">
        <f>INT(F20+F18+F15+F13)</f>
        <v>25884</v>
      </c>
      <c r="G22" s="20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2"/>
      <c r="V22" s="11"/>
    </row>
    <row r="23" spans="1:22" ht="14.45" customHeight="1">
      <c r="A23" s="11"/>
      <c r="B23" s="11"/>
      <c r="C23" s="11"/>
      <c r="D23" s="11"/>
      <c r="E23" s="11"/>
      <c r="F23" s="11"/>
      <c r="G23" s="11"/>
      <c r="U23" s="15"/>
      <c r="V23" s="11"/>
    </row>
    <row r="24" spans="1:22" ht="14.45" customHeight="1">
      <c r="A24" s="55" t="s">
        <v>1170</v>
      </c>
      <c r="B24" s="55" t="s">
        <v>1147</v>
      </c>
      <c r="C24" s="11"/>
      <c r="D24" s="11"/>
      <c r="E24" s="11"/>
      <c r="F24" s="105">
        <f>INT(H24*M24*O24)</f>
        <v>27562</v>
      </c>
      <c r="G24" s="11"/>
      <c r="H24" s="1126">
        <v>152197000</v>
      </c>
      <c r="I24" s="1126"/>
      <c r="J24" s="1126"/>
      <c r="K24" s="1126"/>
      <c r="L24" s="28" t="s">
        <v>165</v>
      </c>
      <c r="M24" s="106">
        <v>1811</v>
      </c>
      <c r="N24" s="10" t="s">
        <v>165</v>
      </c>
      <c r="O24" s="1017">
        <v>9.9999999999999995E-8</v>
      </c>
      <c r="P24" s="1017"/>
      <c r="Q24" s="1017"/>
      <c r="R24" s="1017"/>
      <c r="U24" s="15"/>
      <c r="V24" s="11"/>
    </row>
    <row r="25" spans="1:22" ht="14.45" customHeight="1">
      <c r="A25" s="11"/>
      <c r="B25" s="11"/>
      <c r="C25" s="11"/>
      <c r="D25" s="11"/>
      <c r="E25" s="11"/>
      <c r="F25" s="96"/>
      <c r="G25" s="11"/>
      <c r="U25" s="15"/>
      <c r="V25" s="11"/>
    </row>
    <row r="26" spans="1:22" ht="14.45" customHeight="1">
      <c r="A26" s="11"/>
      <c r="B26" s="11"/>
      <c r="C26" s="11"/>
      <c r="D26" s="11"/>
      <c r="E26" s="11"/>
      <c r="F26" s="96"/>
      <c r="G26" s="11"/>
      <c r="U26" s="15"/>
      <c r="V26" s="11"/>
    </row>
    <row r="27" spans="1:22" ht="14.45" customHeight="1">
      <c r="A27" s="11"/>
      <c r="B27" s="11"/>
      <c r="C27" s="11"/>
      <c r="D27" s="11"/>
      <c r="E27" s="11"/>
      <c r="F27" s="96"/>
      <c r="G27" s="11"/>
      <c r="U27" s="15"/>
      <c r="V27" s="11"/>
    </row>
    <row r="28" spans="1:22" ht="14.45" customHeight="1">
      <c r="A28" s="11"/>
      <c r="B28" s="11"/>
      <c r="C28" s="11"/>
      <c r="D28" s="11"/>
      <c r="E28" s="11"/>
      <c r="F28" s="96"/>
      <c r="G28" s="11"/>
      <c r="U28" s="15"/>
      <c r="V28" s="11"/>
    </row>
    <row r="29" spans="1:22" ht="14.45" customHeight="1">
      <c r="A29" s="11"/>
      <c r="B29" s="11"/>
      <c r="C29" s="11"/>
      <c r="D29" s="11"/>
      <c r="E29" s="11"/>
      <c r="F29" s="96"/>
      <c r="G29" s="11"/>
      <c r="U29" s="15"/>
      <c r="V29" s="11"/>
    </row>
    <row r="30" spans="1:22" ht="14.45" customHeight="1">
      <c r="A30" s="20"/>
      <c r="B30" s="20"/>
      <c r="C30" s="20"/>
      <c r="D30" s="20"/>
      <c r="E30" s="20"/>
      <c r="F30" s="102"/>
      <c r="G30" s="20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2"/>
      <c r="V30" s="11"/>
    </row>
    <row r="31" spans="1:22" ht="14.45" customHeight="1">
      <c r="A31" s="11"/>
      <c r="B31" s="11"/>
      <c r="C31" s="11"/>
      <c r="D31" s="11"/>
      <c r="E31" s="11"/>
      <c r="F31" s="96"/>
      <c r="G31" s="11"/>
      <c r="U31" s="15"/>
      <c r="V31" s="11"/>
    </row>
    <row r="32" spans="1:22" ht="14.45" customHeight="1">
      <c r="A32" s="59" t="s">
        <v>1156</v>
      </c>
      <c r="B32" s="20"/>
      <c r="C32" s="20"/>
      <c r="D32" s="20"/>
      <c r="E32" s="20"/>
      <c r="F32" s="103">
        <f>INT(F24+F22+F11)</f>
        <v>110523</v>
      </c>
      <c r="G32" s="20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2"/>
      <c r="V32" s="11"/>
    </row>
    <row r="33" spans="1:22" ht="20.45" customHeight="1">
      <c r="A33" s="90" t="s">
        <v>922</v>
      </c>
      <c r="B33" s="94"/>
      <c r="C33" s="94"/>
      <c r="D33" s="94"/>
    </row>
    <row r="34" spans="1:22" ht="14.45" customHeight="1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</row>
    <row r="35" spans="1:22" ht="25.5" customHeight="1">
      <c r="A35" s="2" t="s">
        <v>1009</v>
      </c>
      <c r="B35" s="2" t="s">
        <v>1010</v>
      </c>
      <c r="C35" s="2" t="s">
        <v>1217</v>
      </c>
      <c r="D35" s="2" t="s">
        <v>1011</v>
      </c>
      <c r="E35" s="2" t="s">
        <v>207</v>
      </c>
      <c r="F35" s="2" t="s">
        <v>54</v>
      </c>
      <c r="G35" s="1119" t="s">
        <v>1766</v>
      </c>
      <c r="H35" s="1120"/>
      <c r="I35" s="1120"/>
      <c r="J35" s="1120"/>
      <c r="K35" s="1120"/>
      <c r="L35" s="1120"/>
      <c r="M35" s="1120"/>
      <c r="N35" s="1120"/>
      <c r="O35" s="1120"/>
      <c r="P35" s="1120"/>
      <c r="Q35" s="1120"/>
      <c r="R35" s="1120"/>
      <c r="S35" s="1120"/>
      <c r="T35" s="1120"/>
      <c r="U35" s="1121"/>
      <c r="V35" s="11"/>
    </row>
    <row r="36" spans="1:22" ht="14.45" customHeight="1">
      <c r="A36" s="11"/>
      <c r="B36" s="11"/>
      <c r="C36" s="11"/>
      <c r="D36" s="11"/>
      <c r="E36" s="96"/>
      <c r="F36" s="96"/>
      <c r="G36" s="11"/>
      <c r="U36" s="15"/>
    </row>
    <row r="37" spans="1:22" ht="14.45" customHeight="1">
      <c r="A37" s="55" t="s">
        <v>1168</v>
      </c>
      <c r="B37" s="55" t="s">
        <v>481</v>
      </c>
      <c r="C37" s="11">
        <v>1</v>
      </c>
      <c r="D37" s="55" t="s">
        <v>1328</v>
      </c>
      <c r="E37" s="96">
        <f>U37</f>
        <v>57077</v>
      </c>
      <c r="F37" s="97">
        <f>U37</f>
        <v>57077</v>
      </c>
      <c r="G37" s="98">
        <f>노임!F3</f>
        <v>273971</v>
      </c>
      <c r="H37" s="28" t="s">
        <v>683</v>
      </c>
      <c r="I37" s="28">
        <v>1</v>
      </c>
      <c r="J37" s="28" t="s">
        <v>682</v>
      </c>
      <c r="K37" s="386">
        <v>8</v>
      </c>
      <c r="L37" s="28" t="s">
        <v>683</v>
      </c>
      <c r="M37" s="386">
        <v>25</v>
      </c>
      <c r="N37" s="28" t="s">
        <v>682</v>
      </c>
      <c r="O37" s="387">
        <v>20</v>
      </c>
      <c r="P37" s="28" t="s">
        <v>683</v>
      </c>
      <c r="Q37" s="386">
        <v>16</v>
      </c>
      <c r="R37" s="28" t="s">
        <v>682</v>
      </c>
      <c r="S37" s="386">
        <v>12</v>
      </c>
      <c r="T37" s="28" t="s">
        <v>1167</v>
      </c>
      <c r="U37" s="99">
        <f>INT(G37*I37/K37*M37/O37*Q37/S37)</f>
        <v>57077</v>
      </c>
    </row>
    <row r="38" spans="1:22" ht="14.45" customHeight="1">
      <c r="A38" s="11"/>
      <c r="B38" s="11"/>
      <c r="C38" s="11"/>
      <c r="D38" s="11"/>
      <c r="E38" s="96"/>
      <c r="F38" s="96"/>
      <c r="G38" s="11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100"/>
    </row>
    <row r="39" spans="1:22" ht="14.45" customHeight="1">
      <c r="A39" s="11"/>
      <c r="B39" s="55" t="s">
        <v>1262</v>
      </c>
      <c r="C39" s="11"/>
      <c r="D39" s="55" t="s">
        <v>1023</v>
      </c>
      <c r="E39" s="97">
        <f>U39</f>
        <v>0</v>
      </c>
      <c r="F39" s="97">
        <f>TRUNC((C39*E39),1)</f>
        <v>0</v>
      </c>
      <c r="G39" s="98"/>
      <c r="H39" s="28" t="s">
        <v>683</v>
      </c>
      <c r="I39" s="28">
        <v>1</v>
      </c>
      <c r="J39" s="28" t="s">
        <v>682</v>
      </c>
      <c r="K39" s="28">
        <f>K37</f>
        <v>8</v>
      </c>
      <c r="L39" s="28" t="s">
        <v>683</v>
      </c>
      <c r="M39" s="28">
        <f>M37</f>
        <v>25</v>
      </c>
      <c r="N39" s="28" t="s">
        <v>682</v>
      </c>
      <c r="O39" s="388">
        <f>O37</f>
        <v>20</v>
      </c>
      <c r="P39" s="28" t="s">
        <v>683</v>
      </c>
      <c r="Q39" s="28">
        <f>Q37</f>
        <v>16</v>
      </c>
      <c r="R39" s="28" t="s">
        <v>682</v>
      </c>
      <c r="S39" s="28">
        <f>S37</f>
        <v>12</v>
      </c>
      <c r="T39" s="28" t="s">
        <v>1167</v>
      </c>
      <c r="U39" s="99">
        <f>INT(G39*I39/K39*M39/O39*Q39/S39)</f>
        <v>0</v>
      </c>
    </row>
    <row r="40" spans="1:22" ht="14.45" customHeight="1">
      <c r="A40" s="11"/>
      <c r="B40" s="11"/>
      <c r="C40" s="11"/>
      <c r="D40" s="11"/>
      <c r="E40" s="96"/>
      <c r="F40" s="96"/>
      <c r="G40" s="11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100"/>
    </row>
    <row r="41" spans="1:22" ht="14.45" customHeight="1">
      <c r="A41" s="11"/>
      <c r="B41" s="55" t="s">
        <v>1263</v>
      </c>
      <c r="C41" s="11"/>
      <c r="D41" s="55" t="s">
        <v>1023</v>
      </c>
      <c r="E41" s="101">
        <f>U41</f>
        <v>0</v>
      </c>
      <c r="F41" s="97">
        <f>TRUNC((C41*E41),1)</f>
        <v>0</v>
      </c>
      <c r="G41" s="98"/>
      <c r="H41" s="28" t="s">
        <v>683</v>
      </c>
      <c r="I41" s="28">
        <v>1</v>
      </c>
      <c r="J41" s="28" t="s">
        <v>682</v>
      </c>
      <c r="K41" s="28">
        <f>K39</f>
        <v>8</v>
      </c>
      <c r="L41" s="28" t="s">
        <v>683</v>
      </c>
      <c r="M41" s="28">
        <f>M39</f>
        <v>25</v>
      </c>
      <c r="N41" s="28" t="s">
        <v>682</v>
      </c>
      <c r="O41" s="388">
        <f>O39</f>
        <v>20</v>
      </c>
      <c r="P41" s="28" t="s">
        <v>683</v>
      </c>
      <c r="Q41" s="28">
        <f>Q39</f>
        <v>16</v>
      </c>
      <c r="R41" s="28" t="s">
        <v>682</v>
      </c>
      <c r="S41" s="28">
        <f>S39</f>
        <v>12</v>
      </c>
      <c r="T41" s="28" t="s">
        <v>1167</v>
      </c>
      <c r="U41" s="99">
        <f>INT(G41*I41/K41*M41/O41*Q41/S41)</f>
        <v>0</v>
      </c>
    </row>
    <row r="42" spans="1:22" ht="14.45" customHeight="1">
      <c r="A42" s="11"/>
      <c r="B42" s="11"/>
      <c r="C42" s="11"/>
      <c r="D42" s="11"/>
      <c r="E42" s="96"/>
      <c r="F42" s="96"/>
      <c r="G42" s="11"/>
      <c r="U42" s="15"/>
    </row>
    <row r="43" spans="1:22" ht="14.45" customHeight="1">
      <c r="A43" s="20"/>
      <c r="B43" s="59" t="s">
        <v>1020</v>
      </c>
      <c r="C43" s="20"/>
      <c r="D43" s="20"/>
      <c r="E43" s="102"/>
      <c r="F43" s="103">
        <f>F41+F39+F37</f>
        <v>57077</v>
      </c>
      <c r="G43" s="20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2"/>
    </row>
    <row r="44" spans="1:22" ht="14.45" customHeight="1">
      <c r="A44" s="11"/>
      <c r="B44" s="11"/>
      <c r="C44" s="11"/>
      <c r="D44" s="11"/>
      <c r="E44" s="11"/>
      <c r="F44" s="11"/>
      <c r="G44" s="11"/>
      <c r="U44" s="15"/>
    </row>
    <row r="45" spans="1:22" ht="14.45" customHeight="1">
      <c r="A45" s="55" t="s">
        <v>1169</v>
      </c>
      <c r="B45" s="55" t="s">
        <v>1146</v>
      </c>
      <c r="C45" s="11">
        <v>14.6</v>
      </c>
      <c r="D45" s="55" t="s">
        <v>636</v>
      </c>
      <c r="E45" s="101">
        <f>자재!$F$19</f>
        <v>1528.38</v>
      </c>
      <c r="F45" s="97">
        <f>ROUNDDOWN(E45*C45,1)</f>
        <v>22314.3</v>
      </c>
      <c r="G45" s="11"/>
      <c r="U45" s="15"/>
    </row>
    <row r="46" spans="1:22" ht="14.45" customHeight="1">
      <c r="A46" s="11"/>
      <c r="B46" s="11"/>
      <c r="C46" s="11"/>
      <c r="D46" s="11"/>
      <c r="E46" s="11"/>
      <c r="F46" s="11"/>
      <c r="G46" s="11"/>
      <c r="U46" s="15"/>
    </row>
    <row r="47" spans="1:22" ht="14.45" customHeight="1">
      <c r="A47" s="11"/>
      <c r="B47" s="55" t="s">
        <v>482</v>
      </c>
      <c r="C47" s="11">
        <v>0.23</v>
      </c>
      <c r="D47" s="11"/>
      <c r="E47" s="101">
        <f>F45</f>
        <v>22314.3</v>
      </c>
      <c r="F47" s="97">
        <f>ROUNDDOWN(E47*C47,1)</f>
        <v>5132.2</v>
      </c>
      <c r="G47" s="11"/>
      <c r="U47" s="15"/>
    </row>
    <row r="48" spans="1:22" ht="14.45" customHeight="1">
      <c r="A48" s="11"/>
      <c r="B48" s="11"/>
      <c r="C48" s="11"/>
      <c r="D48" s="11"/>
      <c r="E48" s="11"/>
      <c r="F48" s="11"/>
      <c r="G48" s="11"/>
      <c r="U48" s="15"/>
    </row>
    <row r="49" spans="1:21" ht="14.45" customHeight="1">
      <c r="A49" s="11"/>
      <c r="B49" s="11"/>
      <c r="C49" s="11"/>
      <c r="D49" s="11"/>
      <c r="E49" s="11"/>
      <c r="F49" s="11"/>
      <c r="G49" s="11"/>
      <c r="U49" s="15"/>
    </row>
    <row r="50" spans="1:21" ht="14.45" customHeight="1">
      <c r="A50" s="11"/>
      <c r="B50" s="11"/>
      <c r="C50" s="11"/>
      <c r="D50" s="11"/>
      <c r="E50" s="11"/>
      <c r="F50" s="11"/>
      <c r="G50" s="11"/>
      <c r="U50" s="15"/>
    </row>
    <row r="51" spans="1:21" ht="14.45" customHeight="1">
      <c r="A51" s="11"/>
      <c r="B51" s="11"/>
      <c r="C51" s="11"/>
      <c r="D51" s="11"/>
      <c r="E51" s="11"/>
      <c r="F51" s="11"/>
      <c r="G51" s="11"/>
      <c r="U51" s="15"/>
    </row>
    <row r="52" spans="1:21" ht="14.45" customHeight="1">
      <c r="A52" s="11"/>
      <c r="B52" s="11"/>
      <c r="C52" s="11"/>
      <c r="D52" s="11"/>
      <c r="E52" s="11"/>
      <c r="F52" s="11"/>
      <c r="G52" s="11"/>
      <c r="U52" s="15"/>
    </row>
    <row r="53" spans="1:21" ht="14.45" customHeight="1">
      <c r="A53" s="11"/>
      <c r="B53" s="11"/>
      <c r="C53" s="11"/>
      <c r="D53" s="11"/>
      <c r="E53" s="11"/>
      <c r="F53" s="11"/>
      <c r="G53" s="11"/>
      <c r="U53" s="15"/>
    </row>
    <row r="54" spans="1:21" ht="14.45" customHeight="1">
      <c r="A54" s="20"/>
      <c r="B54" s="59" t="s">
        <v>1020</v>
      </c>
      <c r="C54" s="20"/>
      <c r="D54" s="20"/>
      <c r="E54" s="20"/>
      <c r="F54" s="103">
        <f>INT(F52+F50+F47+F45)</f>
        <v>27446</v>
      </c>
      <c r="G54" s="20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2"/>
    </row>
    <row r="55" spans="1:21" ht="14.45" customHeight="1">
      <c r="A55" s="11"/>
      <c r="B55" s="11"/>
      <c r="C55" s="11"/>
      <c r="D55" s="11"/>
      <c r="E55" s="11"/>
      <c r="F55" s="11"/>
      <c r="G55" s="11"/>
      <c r="U55" s="15"/>
    </row>
    <row r="56" spans="1:21" ht="14.45" customHeight="1">
      <c r="A56" s="55" t="s">
        <v>1170</v>
      </c>
      <c r="B56" s="55" t="s">
        <v>1147</v>
      </c>
      <c r="C56" s="11"/>
      <c r="D56" s="11"/>
      <c r="E56" s="11"/>
      <c r="F56" s="105">
        <f>INT(H56*M56*O56)</f>
        <v>24857</v>
      </c>
      <c r="G56" s="11"/>
      <c r="H56" s="1126">
        <v>137261000</v>
      </c>
      <c r="I56" s="1126"/>
      <c r="J56" s="1126"/>
      <c r="K56" s="1126"/>
      <c r="L56" s="28" t="s">
        <v>921</v>
      </c>
      <c r="M56" s="106">
        <v>1811</v>
      </c>
      <c r="N56" s="10" t="s">
        <v>921</v>
      </c>
      <c r="O56" s="1017">
        <v>9.9999999999999995E-8</v>
      </c>
      <c r="P56" s="1017"/>
      <c r="Q56" s="1017"/>
      <c r="R56" s="1017"/>
      <c r="U56" s="15"/>
    </row>
    <row r="57" spans="1:21" ht="14.45" customHeight="1">
      <c r="A57" s="11"/>
      <c r="B57" s="11"/>
      <c r="C57" s="11"/>
      <c r="D57" s="11"/>
      <c r="E57" s="11"/>
      <c r="F57" s="96"/>
      <c r="G57" s="11"/>
      <c r="U57" s="15"/>
    </row>
    <row r="58" spans="1:21" ht="14.45" customHeight="1">
      <c r="A58" s="11"/>
      <c r="B58" s="11"/>
      <c r="C58" s="11"/>
      <c r="D58" s="11"/>
      <c r="E58" s="11"/>
      <c r="F58" s="96"/>
      <c r="G58" s="11"/>
      <c r="U58" s="15"/>
    </row>
    <row r="59" spans="1:21" ht="14.45" customHeight="1">
      <c r="A59" s="11"/>
      <c r="B59" s="11"/>
      <c r="C59" s="11"/>
      <c r="D59" s="11"/>
      <c r="E59" s="11"/>
      <c r="F59" s="96"/>
      <c r="G59" s="11"/>
      <c r="U59" s="15"/>
    </row>
    <row r="60" spans="1:21" ht="14.45" customHeight="1">
      <c r="A60" s="11"/>
      <c r="B60" s="11"/>
      <c r="C60" s="11"/>
      <c r="D60" s="11"/>
      <c r="E60" s="11"/>
      <c r="F60" s="96"/>
      <c r="G60" s="11"/>
      <c r="U60" s="15"/>
    </row>
    <row r="61" spans="1:21" ht="14.45" customHeight="1">
      <c r="A61" s="11"/>
      <c r="B61" s="11"/>
      <c r="C61" s="11"/>
      <c r="D61" s="11"/>
      <c r="E61" s="11"/>
      <c r="F61" s="96"/>
      <c r="G61" s="11"/>
      <c r="U61" s="15"/>
    </row>
    <row r="62" spans="1:21" ht="14.45" customHeight="1">
      <c r="A62" s="11"/>
      <c r="B62" s="11"/>
      <c r="C62" s="11"/>
      <c r="D62" s="11"/>
      <c r="E62" s="11"/>
      <c r="F62" s="96"/>
      <c r="G62" s="11"/>
      <c r="U62" s="15"/>
    </row>
    <row r="63" spans="1:21" ht="14.45" customHeight="1">
      <c r="A63" s="11"/>
      <c r="B63" s="11"/>
      <c r="C63" s="11"/>
      <c r="D63" s="11"/>
      <c r="E63" s="11"/>
      <c r="F63" s="96"/>
      <c r="G63" s="11"/>
      <c r="U63" s="15"/>
    </row>
    <row r="64" spans="1:21" ht="14.45" customHeight="1">
      <c r="A64" s="20"/>
      <c r="B64" s="20"/>
      <c r="C64" s="20"/>
      <c r="D64" s="20"/>
      <c r="E64" s="20"/>
      <c r="F64" s="102"/>
      <c r="G64" s="20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2"/>
    </row>
    <row r="65" spans="1:22" ht="14.45" customHeight="1">
      <c r="A65" s="11"/>
      <c r="B65" s="11"/>
      <c r="C65" s="11"/>
      <c r="D65" s="11"/>
      <c r="E65" s="11"/>
      <c r="F65" s="96"/>
      <c r="G65" s="11"/>
      <c r="U65" s="15"/>
    </row>
    <row r="66" spans="1:22" ht="14.45" customHeight="1">
      <c r="A66" s="59" t="s">
        <v>1156</v>
      </c>
      <c r="B66" s="20"/>
      <c r="C66" s="20"/>
      <c r="D66" s="20"/>
      <c r="E66" s="20"/>
      <c r="F66" s="103">
        <f>INT(F56+F54+F43)</f>
        <v>109380</v>
      </c>
      <c r="G66" s="20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2"/>
    </row>
    <row r="67" spans="1:22" ht="14.45" customHeight="1">
      <c r="A67" s="90" t="s">
        <v>923</v>
      </c>
      <c r="B67" s="94"/>
      <c r="C67" s="94"/>
      <c r="F67" s="80"/>
    </row>
    <row r="68" spans="1:22" ht="14.45" customHeight="1">
      <c r="A68" s="21"/>
      <c r="B68" s="21"/>
      <c r="C68" s="21"/>
      <c r="D68" s="21"/>
      <c r="E68" s="21"/>
      <c r="F68" s="107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</row>
    <row r="69" spans="1:22" ht="25.5" customHeight="1">
      <c r="A69" s="2" t="s">
        <v>1009</v>
      </c>
      <c r="B69" s="2" t="s">
        <v>1010</v>
      </c>
      <c r="C69" s="2" t="s">
        <v>1217</v>
      </c>
      <c r="D69" s="2" t="s">
        <v>1011</v>
      </c>
      <c r="E69" s="2" t="s">
        <v>207</v>
      </c>
      <c r="F69" s="2" t="s">
        <v>54</v>
      </c>
      <c r="G69" s="1119" t="s">
        <v>1766</v>
      </c>
      <c r="H69" s="1120"/>
      <c r="I69" s="1120"/>
      <c r="J69" s="1120"/>
      <c r="K69" s="1120"/>
      <c r="L69" s="1120"/>
      <c r="M69" s="1120"/>
      <c r="N69" s="1120"/>
      <c r="O69" s="1120"/>
      <c r="P69" s="1120"/>
      <c r="Q69" s="1120"/>
      <c r="R69" s="1120"/>
      <c r="S69" s="1120"/>
      <c r="T69" s="1120"/>
      <c r="U69" s="1121"/>
      <c r="V69" s="11"/>
    </row>
    <row r="70" spans="1:22" ht="14.45" customHeight="1">
      <c r="A70" s="11"/>
      <c r="B70" s="11"/>
      <c r="C70" s="11"/>
      <c r="D70" s="11"/>
      <c r="E70" s="11"/>
      <c r="F70" s="96"/>
      <c r="G70" s="11"/>
      <c r="U70" s="15"/>
      <c r="V70" s="11"/>
    </row>
    <row r="71" spans="1:22" ht="14.45" customHeight="1">
      <c r="A71" s="55" t="s">
        <v>1168</v>
      </c>
      <c r="B71" s="55" t="s">
        <v>1261</v>
      </c>
      <c r="C71" s="11">
        <v>1</v>
      </c>
      <c r="D71" s="55" t="s">
        <v>1328</v>
      </c>
      <c r="E71" s="96">
        <f>U71</f>
        <v>57077</v>
      </c>
      <c r="F71" s="97">
        <f>U71</f>
        <v>57077</v>
      </c>
      <c r="G71" s="101">
        <f>노임!F3</f>
        <v>273971</v>
      </c>
      <c r="H71" s="28" t="s">
        <v>683</v>
      </c>
      <c r="I71" s="28">
        <v>1</v>
      </c>
      <c r="J71" s="28" t="s">
        <v>682</v>
      </c>
      <c r="K71" s="28">
        <f>K37</f>
        <v>8</v>
      </c>
      <c r="L71" s="28" t="s">
        <v>683</v>
      </c>
      <c r="M71" s="28">
        <f>M37</f>
        <v>25</v>
      </c>
      <c r="N71" s="28" t="s">
        <v>682</v>
      </c>
      <c r="O71" s="28">
        <f>O37</f>
        <v>20</v>
      </c>
      <c r="P71" s="28" t="s">
        <v>683</v>
      </c>
      <c r="Q71" s="28">
        <f>Q37</f>
        <v>16</v>
      </c>
      <c r="R71" s="28" t="s">
        <v>682</v>
      </c>
      <c r="S71" s="28">
        <f>S37</f>
        <v>12</v>
      </c>
      <c r="T71" s="28" t="s">
        <v>1167</v>
      </c>
      <c r="U71" s="99">
        <f>INT(G71*I71/K71*M71/O71*Q71/S71)</f>
        <v>57077</v>
      </c>
      <c r="V71" s="11"/>
    </row>
    <row r="72" spans="1:22" ht="14.45" customHeight="1">
      <c r="A72" s="11"/>
      <c r="B72" s="11"/>
      <c r="C72" s="11"/>
      <c r="D72" s="11"/>
      <c r="E72" s="11"/>
      <c r="F72" s="96"/>
      <c r="G72" s="96"/>
      <c r="H72" s="28"/>
      <c r="I72" s="28"/>
      <c r="J72" s="28"/>
      <c r="K72" s="28"/>
      <c r="L72" s="28"/>
      <c r="M72" s="28"/>
      <c r="N72" s="28"/>
      <c r="O72" s="388"/>
      <c r="P72" s="28"/>
      <c r="Q72" s="28"/>
      <c r="R72" s="28"/>
      <c r="S72" s="28"/>
      <c r="T72" s="28"/>
      <c r="U72" s="100"/>
      <c r="V72" s="11"/>
    </row>
    <row r="73" spans="1:22" ht="14.45" customHeight="1">
      <c r="A73" s="11"/>
      <c r="B73" s="55" t="s">
        <v>1262</v>
      </c>
      <c r="C73" s="11">
        <v>0</v>
      </c>
      <c r="D73" s="55" t="s">
        <v>1023</v>
      </c>
      <c r="E73" s="11">
        <f>U73</f>
        <v>0</v>
      </c>
      <c r="F73" s="97">
        <f>TRUNC((C73*E73),1)</f>
        <v>0</v>
      </c>
      <c r="G73" s="101"/>
      <c r="H73" s="28" t="s">
        <v>683</v>
      </c>
      <c r="I73" s="28">
        <v>1</v>
      </c>
      <c r="J73" s="28" t="s">
        <v>682</v>
      </c>
      <c r="K73" s="28">
        <f>K39</f>
        <v>8</v>
      </c>
      <c r="L73" s="28" t="s">
        <v>683</v>
      </c>
      <c r="M73" s="28">
        <f>M39</f>
        <v>25</v>
      </c>
      <c r="N73" s="28" t="s">
        <v>682</v>
      </c>
      <c r="O73" s="28">
        <f>O39</f>
        <v>20</v>
      </c>
      <c r="P73" s="28" t="s">
        <v>683</v>
      </c>
      <c r="Q73" s="28">
        <f>Q39</f>
        <v>16</v>
      </c>
      <c r="R73" s="28" t="s">
        <v>682</v>
      </c>
      <c r="S73" s="28">
        <f>S39</f>
        <v>12</v>
      </c>
      <c r="T73" s="28" t="s">
        <v>1167</v>
      </c>
      <c r="U73" s="99">
        <f>INT(G73*I73/K73*M73/O73*Q73/S73)</f>
        <v>0</v>
      </c>
      <c r="V73" s="11"/>
    </row>
    <row r="74" spans="1:22" ht="14.45" customHeight="1">
      <c r="A74" s="11"/>
      <c r="B74" s="11"/>
      <c r="C74" s="11"/>
      <c r="D74" s="11"/>
      <c r="E74" s="11"/>
      <c r="F74" s="96"/>
      <c r="G74" s="96"/>
      <c r="H74" s="28"/>
      <c r="I74" s="28"/>
      <c r="J74" s="28"/>
      <c r="K74" s="28"/>
      <c r="L74" s="28"/>
      <c r="M74" s="28"/>
      <c r="N74" s="28"/>
      <c r="O74" s="388"/>
      <c r="P74" s="28"/>
      <c r="Q74" s="28"/>
      <c r="R74" s="28"/>
      <c r="S74" s="28"/>
      <c r="T74" s="28"/>
      <c r="U74" s="100"/>
      <c r="V74" s="11"/>
    </row>
    <row r="75" spans="1:22" ht="14.45" customHeight="1">
      <c r="A75" s="11"/>
      <c r="B75" s="55" t="s">
        <v>1263</v>
      </c>
      <c r="C75" s="11">
        <v>0</v>
      </c>
      <c r="D75" s="55" t="s">
        <v>1023</v>
      </c>
      <c r="E75" s="11">
        <f>U75</f>
        <v>0</v>
      </c>
      <c r="F75" s="97">
        <f>TRUNC((C75*E75),1)</f>
        <v>0</v>
      </c>
      <c r="G75" s="101"/>
      <c r="H75" s="28" t="s">
        <v>683</v>
      </c>
      <c r="I75" s="28">
        <v>1</v>
      </c>
      <c r="J75" s="28" t="s">
        <v>682</v>
      </c>
      <c r="K75" s="28">
        <f>K41</f>
        <v>8</v>
      </c>
      <c r="L75" s="28" t="s">
        <v>683</v>
      </c>
      <c r="M75" s="28">
        <f>M41</f>
        <v>25</v>
      </c>
      <c r="N75" s="28" t="s">
        <v>682</v>
      </c>
      <c r="O75" s="28">
        <f>O41</f>
        <v>20</v>
      </c>
      <c r="P75" s="28" t="s">
        <v>683</v>
      </c>
      <c r="Q75" s="28">
        <f>Q41</f>
        <v>16</v>
      </c>
      <c r="R75" s="28" t="s">
        <v>682</v>
      </c>
      <c r="S75" s="28">
        <f>S41</f>
        <v>12</v>
      </c>
      <c r="T75" s="28" t="s">
        <v>1167</v>
      </c>
      <c r="U75" s="99">
        <f>INT(G75*I75/K75*M75/O75*Q75/S75)</f>
        <v>0</v>
      </c>
      <c r="V75" s="11"/>
    </row>
    <row r="76" spans="1:22" ht="14.45" customHeight="1">
      <c r="A76" s="11"/>
      <c r="B76" s="11"/>
      <c r="C76" s="11"/>
      <c r="D76" s="11"/>
      <c r="E76" s="11"/>
      <c r="F76" s="96"/>
      <c r="G76" s="96"/>
      <c r="U76" s="15"/>
      <c r="V76" s="11"/>
    </row>
    <row r="77" spans="1:22" ht="14.45" customHeight="1">
      <c r="A77" s="20"/>
      <c r="B77" s="59" t="s">
        <v>1020</v>
      </c>
      <c r="C77" s="20"/>
      <c r="D77" s="20"/>
      <c r="E77" s="20"/>
      <c r="F77" s="103">
        <f>F75+F73+F71</f>
        <v>57077</v>
      </c>
      <c r="G77" s="102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2"/>
      <c r="V77" s="11"/>
    </row>
    <row r="78" spans="1:22" ht="14.45" customHeight="1">
      <c r="A78" s="11"/>
      <c r="B78" s="11"/>
      <c r="C78" s="11"/>
      <c r="D78" s="11"/>
      <c r="E78" s="11"/>
      <c r="F78" s="96"/>
      <c r="G78" s="96"/>
      <c r="U78" s="15"/>
      <c r="V78" s="11"/>
    </row>
    <row r="79" spans="1:22" ht="14.45" customHeight="1">
      <c r="A79" s="55" t="s">
        <v>1169</v>
      </c>
      <c r="B79" s="55" t="s">
        <v>1146</v>
      </c>
      <c r="C79" s="11">
        <v>25</v>
      </c>
      <c r="D79" s="55" t="s">
        <v>636</v>
      </c>
      <c r="E79" s="383">
        <f>자재!F19</f>
        <v>1528.38</v>
      </c>
      <c r="F79" s="97">
        <f>ROUNDDOWN(E79*C79,1)</f>
        <v>38209.5</v>
      </c>
      <c r="G79" s="96"/>
      <c r="U79" s="15"/>
      <c r="V79" s="11"/>
    </row>
    <row r="80" spans="1:22" ht="14.45" customHeight="1">
      <c r="A80" s="11"/>
      <c r="B80" s="11"/>
      <c r="C80" s="11"/>
      <c r="D80" s="11"/>
      <c r="E80" s="384"/>
      <c r="F80" s="11"/>
      <c r="G80" s="96"/>
      <c r="U80" s="15"/>
      <c r="V80" s="11"/>
    </row>
    <row r="81" spans="1:22" ht="14.45" customHeight="1">
      <c r="A81" s="11"/>
      <c r="B81" s="55" t="s">
        <v>483</v>
      </c>
      <c r="C81" s="11">
        <v>0.16</v>
      </c>
      <c r="D81" s="11"/>
      <c r="E81" s="383">
        <f>F79</f>
        <v>38209.5</v>
      </c>
      <c r="F81" s="97">
        <f>ROUNDDOWN(E81*C81,1)</f>
        <v>6113.5</v>
      </c>
      <c r="G81" s="96"/>
      <c r="U81" s="15"/>
      <c r="V81" s="11"/>
    </row>
    <row r="82" spans="1:22" ht="14.45" customHeight="1">
      <c r="A82" s="11"/>
      <c r="B82" s="11"/>
      <c r="C82" s="11"/>
      <c r="D82" s="11"/>
      <c r="E82" s="11"/>
      <c r="F82" s="96"/>
      <c r="G82" s="96"/>
      <c r="U82" s="15"/>
      <c r="V82" s="11"/>
    </row>
    <row r="83" spans="1:22" ht="14.45" customHeight="1">
      <c r="A83" s="11"/>
      <c r="B83" s="11"/>
      <c r="C83" s="11"/>
      <c r="D83" s="11"/>
      <c r="E83" s="11"/>
      <c r="F83" s="96"/>
      <c r="G83" s="96"/>
      <c r="U83" s="15"/>
      <c r="V83" s="11"/>
    </row>
    <row r="84" spans="1:22" ht="14.45" customHeight="1">
      <c r="A84" s="11"/>
      <c r="B84" s="11"/>
      <c r="C84" s="11"/>
      <c r="D84" s="11"/>
      <c r="E84" s="11"/>
      <c r="F84" s="96"/>
      <c r="G84" s="96"/>
      <c r="U84" s="15"/>
      <c r="V84" s="11"/>
    </row>
    <row r="85" spans="1:22" ht="14.45" customHeight="1">
      <c r="A85" s="11"/>
      <c r="B85" s="11"/>
      <c r="C85" s="11"/>
      <c r="D85" s="11"/>
      <c r="E85" s="11"/>
      <c r="F85" s="96"/>
      <c r="G85" s="96"/>
      <c r="U85" s="15"/>
      <c r="V85" s="11"/>
    </row>
    <row r="86" spans="1:22" ht="14.45" customHeight="1">
      <c r="A86" s="11"/>
      <c r="B86" s="11"/>
      <c r="C86" s="11"/>
      <c r="D86" s="11"/>
      <c r="E86" s="11"/>
      <c r="F86" s="96"/>
      <c r="G86" s="96"/>
      <c r="U86" s="15"/>
      <c r="V86" s="11"/>
    </row>
    <row r="87" spans="1:22" ht="14.45" customHeight="1">
      <c r="A87" s="20"/>
      <c r="B87" s="59" t="s">
        <v>1020</v>
      </c>
      <c r="C87" s="20"/>
      <c r="D87" s="20"/>
      <c r="E87" s="20"/>
      <c r="F87" s="103">
        <f>INT(F85+F83+F81+F79)</f>
        <v>44323</v>
      </c>
      <c r="G87" s="102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2"/>
      <c r="V87" s="11"/>
    </row>
    <row r="88" spans="1:22" ht="14.45" customHeight="1">
      <c r="A88" s="11"/>
      <c r="B88" s="11"/>
      <c r="C88" s="11"/>
      <c r="D88" s="11"/>
      <c r="E88" s="11"/>
      <c r="F88" s="96"/>
      <c r="G88" s="96"/>
      <c r="U88" s="15"/>
      <c r="V88" s="11"/>
    </row>
    <row r="89" spans="1:22" ht="14.45" customHeight="1">
      <c r="A89" s="55" t="s">
        <v>1170</v>
      </c>
      <c r="B89" s="55" t="s">
        <v>1147</v>
      </c>
      <c r="C89" s="11"/>
      <c r="D89" s="11"/>
      <c r="E89" s="11"/>
      <c r="F89" s="105">
        <f>INT(H89*M89*O89)</f>
        <v>28546</v>
      </c>
      <c r="G89" s="96"/>
      <c r="H89" s="1126">
        <v>157626000</v>
      </c>
      <c r="I89" s="1126"/>
      <c r="J89" s="1126"/>
      <c r="K89" s="1126"/>
      <c r="L89" s="28" t="s">
        <v>921</v>
      </c>
      <c r="M89" s="106">
        <v>1811</v>
      </c>
      <c r="N89" s="10" t="s">
        <v>921</v>
      </c>
      <c r="O89" s="1017">
        <v>9.9999999999999995E-8</v>
      </c>
      <c r="P89" s="1017"/>
      <c r="Q89" s="1017"/>
      <c r="R89" s="1017"/>
      <c r="U89" s="15"/>
      <c r="V89" s="11"/>
    </row>
    <row r="90" spans="1:22" ht="14.45" customHeight="1">
      <c r="A90" s="11"/>
      <c r="B90" s="11"/>
      <c r="C90" s="11"/>
      <c r="D90" s="11"/>
      <c r="E90" s="11"/>
      <c r="F90" s="96"/>
      <c r="G90" s="96"/>
      <c r="U90" s="15"/>
      <c r="V90" s="11"/>
    </row>
    <row r="91" spans="1:22" ht="14.45" customHeight="1">
      <c r="A91" s="11"/>
      <c r="B91" s="11"/>
      <c r="C91" s="11"/>
      <c r="D91" s="11"/>
      <c r="E91" s="11"/>
      <c r="F91" s="96"/>
      <c r="G91" s="96"/>
      <c r="U91" s="15"/>
      <c r="V91" s="11"/>
    </row>
    <row r="92" spans="1:22" ht="14.45" customHeight="1">
      <c r="A92" s="11"/>
      <c r="B92" s="11"/>
      <c r="C92" s="11"/>
      <c r="D92" s="11"/>
      <c r="E92" s="11"/>
      <c r="F92" s="96"/>
      <c r="G92" s="96"/>
      <c r="U92" s="15"/>
      <c r="V92" s="11"/>
    </row>
    <row r="93" spans="1:22" ht="14.45" customHeight="1">
      <c r="A93" s="11"/>
      <c r="B93" s="11"/>
      <c r="C93" s="11"/>
      <c r="D93" s="11"/>
      <c r="E93" s="11"/>
      <c r="F93" s="96"/>
      <c r="G93" s="96"/>
      <c r="U93" s="15"/>
      <c r="V93" s="11"/>
    </row>
    <row r="94" spans="1:22" ht="14.45" customHeight="1">
      <c r="A94" s="11"/>
      <c r="B94" s="11"/>
      <c r="C94" s="11"/>
      <c r="D94" s="11"/>
      <c r="E94" s="11"/>
      <c r="F94" s="96"/>
      <c r="G94" s="96"/>
      <c r="U94" s="15"/>
      <c r="V94" s="11"/>
    </row>
    <row r="95" spans="1:22" ht="14.45" customHeight="1">
      <c r="A95" s="11"/>
      <c r="B95" s="11"/>
      <c r="C95" s="11"/>
      <c r="D95" s="11"/>
      <c r="E95" s="11"/>
      <c r="F95" s="96"/>
      <c r="G95" s="96"/>
      <c r="U95" s="15"/>
      <c r="V95" s="11"/>
    </row>
    <row r="96" spans="1:22" ht="14.45" customHeight="1">
      <c r="A96" s="20"/>
      <c r="B96" s="20"/>
      <c r="C96" s="20"/>
      <c r="D96" s="20"/>
      <c r="E96" s="20"/>
      <c r="F96" s="102"/>
      <c r="G96" s="102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2"/>
      <c r="V96" s="11"/>
    </row>
    <row r="97" spans="1:22" ht="14.45" customHeight="1">
      <c r="A97" s="11"/>
      <c r="B97" s="11"/>
      <c r="C97" s="11"/>
      <c r="D97" s="11"/>
      <c r="E97" s="11"/>
      <c r="F97" s="96"/>
      <c r="G97" s="96"/>
      <c r="U97" s="15"/>
      <c r="V97" s="11"/>
    </row>
    <row r="98" spans="1:22" ht="14.45" customHeight="1">
      <c r="A98" s="59" t="s">
        <v>1156</v>
      </c>
      <c r="B98" s="20"/>
      <c r="C98" s="20"/>
      <c r="D98" s="20"/>
      <c r="E98" s="20"/>
      <c r="F98" s="103">
        <f>INT(F89+F87+F77)</f>
        <v>129946</v>
      </c>
      <c r="G98" s="102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2"/>
      <c r="V98" s="11"/>
    </row>
    <row r="99" spans="1:22" ht="14.45" customHeight="1">
      <c r="A99" s="1123" t="s">
        <v>924</v>
      </c>
      <c r="B99" s="1123"/>
      <c r="C99" s="1123"/>
      <c r="D99" s="1123"/>
      <c r="F99" s="80"/>
    </row>
    <row r="100" spans="1:22" ht="14.45" customHeight="1">
      <c r="A100" s="21"/>
      <c r="B100" s="21"/>
      <c r="C100" s="21"/>
      <c r="D100" s="21"/>
      <c r="E100" s="21"/>
      <c r="F100" s="107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</row>
    <row r="101" spans="1:22" ht="25.5" customHeight="1">
      <c r="A101" s="2" t="s">
        <v>1009</v>
      </c>
      <c r="B101" s="2" t="s">
        <v>1010</v>
      </c>
      <c r="C101" s="2" t="s">
        <v>1217</v>
      </c>
      <c r="D101" s="2" t="s">
        <v>1011</v>
      </c>
      <c r="E101" s="2" t="s">
        <v>207</v>
      </c>
      <c r="F101" s="2" t="s">
        <v>54</v>
      </c>
      <c r="G101" s="1119" t="s">
        <v>1766</v>
      </c>
      <c r="H101" s="1120"/>
      <c r="I101" s="1120"/>
      <c r="J101" s="1120"/>
      <c r="K101" s="1120"/>
      <c r="L101" s="1120"/>
      <c r="M101" s="1120"/>
      <c r="N101" s="1120"/>
      <c r="O101" s="1120"/>
      <c r="P101" s="1120"/>
      <c r="Q101" s="1120"/>
      <c r="R101" s="1120"/>
      <c r="S101" s="1120"/>
      <c r="T101" s="1120"/>
      <c r="U101" s="1121"/>
      <c r="V101" s="11"/>
    </row>
    <row r="102" spans="1:22" ht="14.45" customHeight="1">
      <c r="A102" s="11"/>
      <c r="B102" s="11"/>
      <c r="C102" s="11"/>
      <c r="D102" s="11"/>
      <c r="E102" s="11"/>
      <c r="F102" s="96"/>
      <c r="G102" s="11"/>
      <c r="U102" s="15"/>
      <c r="V102" s="11"/>
    </row>
    <row r="103" spans="1:22" ht="14.45" customHeight="1">
      <c r="A103" s="55" t="s">
        <v>1168</v>
      </c>
      <c r="B103" s="55" t="s">
        <v>1261</v>
      </c>
      <c r="C103" s="11">
        <v>1</v>
      </c>
      <c r="D103" s="55" t="s">
        <v>1328</v>
      </c>
      <c r="E103" s="96">
        <f>U103</f>
        <v>57077</v>
      </c>
      <c r="F103" s="97">
        <f>U103</f>
        <v>57077</v>
      </c>
      <c r="G103" s="101">
        <f>노임!F3</f>
        <v>273971</v>
      </c>
      <c r="H103" s="28" t="s">
        <v>683</v>
      </c>
      <c r="I103" s="28">
        <v>1</v>
      </c>
      <c r="J103" s="28" t="s">
        <v>682</v>
      </c>
      <c r="K103" s="28">
        <f>K71</f>
        <v>8</v>
      </c>
      <c r="L103" s="28" t="s">
        <v>683</v>
      </c>
      <c r="M103" s="28">
        <f>M71</f>
        <v>25</v>
      </c>
      <c r="N103" s="28" t="s">
        <v>682</v>
      </c>
      <c r="O103" s="28">
        <f>O71</f>
        <v>20</v>
      </c>
      <c r="P103" s="28" t="s">
        <v>683</v>
      </c>
      <c r="Q103" s="28">
        <f>Q71</f>
        <v>16</v>
      </c>
      <c r="R103" s="28" t="s">
        <v>682</v>
      </c>
      <c r="S103" s="28">
        <f>S71</f>
        <v>12</v>
      </c>
      <c r="T103" s="28" t="s">
        <v>1167</v>
      </c>
      <c r="U103" s="99">
        <f>INT(G103*I103/K103*M103/O103*Q103/S103)</f>
        <v>57077</v>
      </c>
      <c r="V103" s="11"/>
    </row>
    <row r="104" spans="1:22" ht="14.45" customHeight="1">
      <c r="A104" s="11"/>
      <c r="B104" s="11"/>
      <c r="C104" s="11"/>
      <c r="D104" s="11"/>
      <c r="E104" s="96"/>
      <c r="F104" s="96"/>
      <c r="G104" s="11"/>
      <c r="H104" s="28"/>
      <c r="I104" s="28"/>
      <c r="J104" s="28"/>
      <c r="K104" s="28"/>
      <c r="L104" s="28"/>
      <c r="M104" s="28"/>
      <c r="N104" s="28"/>
      <c r="O104" s="388"/>
      <c r="P104" s="28"/>
      <c r="Q104" s="28"/>
      <c r="R104" s="28"/>
      <c r="S104" s="28"/>
      <c r="T104" s="28"/>
      <c r="U104" s="100"/>
      <c r="V104" s="11"/>
    </row>
    <row r="105" spans="1:22" ht="14.45" customHeight="1">
      <c r="A105" s="11"/>
      <c r="B105" s="55" t="s">
        <v>1262</v>
      </c>
      <c r="C105" s="11"/>
      <c r="D105" s="55" t="s">
        <v>1023</v>
      </c>
      <c r="E105" s="101"/>
      <c r="F105" s="97">
        <f>TRUNC((C105*E105),1)</f>
        <v>0</v>
      </c>
      <c r="G105" s="101"/>
      <c r="H105" s="28" t="s">
        <v>683</v>
      </c>
      <c r="I105" s="28">
        <v>1</v>
      </c>
      <c r="J105" s="28" t="s">
        <v>682</v>
      </c>
      <c r="K105" s="28">
        <f>K73</f>
        <v>8</v>
      </c>
      <c r="L105" s="28" t="s">
        <v>683</v>
      </c>
      <c r="M105" s="28">
        <f>M73</f>
        <v>25</v>
      </c>
      <c r="N105" s="28" t="s">
        <v>682</v>
      </c>
      <c r="O105" s="28">
        <f>O73</f>
        <v>20</v>
      </c>
      <c r="P105" s="28" t="s">
        <v>683</v>
      </c>
      <c r="Q105" s="28">
        <f>Q73</f>
        <v>16</v>
      </c>
      <c r="R105" s="28" t="s">
        <v>682</v>
      </c>
      <c r="S105" s="28">
        <f>S73</f>
        <v>12</v>
      </c>
      <c r="T105" s="28" t="s">
        <v>1167</v>
      </c>
      <c r="U105" s="99">
        <f>INT(G105*I105/K105*M105/O105*Q105/S105)</f>
        <v>0</v>
      </c>
      <c r="V105" s="11"/>
    </row>
    <row r="106" spans="1:22" ht="14.45" customHeight="1">
      <c r="A106" s="11"/>
      <c r="B106" s="11"/>
      <c r="C106" s="11"/>
      <c r="D106" s="11"/>
      <c r="E106" s="96"/>
      <c r="F106" s="96"/>
      <c r="G106" s="11"/>
      <c r="H106" s="28"/>
      <c r="I106" s="28"/>
      <c r="J106" s="28"/>
      <c r="K106" s="28"/>
      <c r="L106" s="28"/>
      <c r="M106" s="28"/>
      <c r="N106" s="28"/>
      <c r="O106" s="388"/>
      <c r="P106" s="28"/>
      <c r="Q106" s="28"/>
      <c r="R106" s="28"/>
      <c r="S106" s="28"/>
      <c r="T106" s="28"/>
      <c r="U106" s="100"/>
      <c r="V106" s="11"/>
    </row>
    <row r="107" spans="1:22" ht="14.45" customHeight="1">
      <c r="A107" s="11"/>
      <c r="B107" s="55" t="s">
        <v>1263</v>
      </c>
      <c r="C107" s="11"/>
      <c r="D107" s="55" t="s">
        <v>1023</v>
      </c>
      <c r="E107" s="101"/>
      <c r="F107" s="97">
        <f>TRUNC((C107*E107),1)</f>
        <v>0</v>
      </c>
      <c r="G107" s="101"/>
      <c r="H107" s="28" t="s">
        <v>683</v>
      </c>
      <c r="I107" s="28">
        <v>1</v>
      </c>
      <c r="J107" s="28" t="s">
        <v>682</v>
      </c>
      <c r="K107" s="28">
        <f>K75</f>
        <v>8</v>
      </c>
      <c r="L107" s="28" t="s">
        <v>683</v>
      </c>
      <c r="M107" s="28">
        <f>M75</f>
        <v>25</v>
      </c>
      <c r="N107" s="28" t="s">
        <v>682</v>
      </c>
      <c r="O107" s="28">
        <f>O75</f>
        <v>20</v>
      </c>
      <c r="P107" s="28" t="s">
        <v>683</v>
      </c>
      <c r="Q107" s="28">
        <f>Q75</f>
        <v>16</v>
      </c>
      <c r="R107" s="28" t="s">
        <v>682</v>
      </c>
      <c r="S107" s="28">
        <f>S75</f>
        <v>12</v>
      </c>
      <c r="T107" s="28" t="s">
        <v>1167</v>
      </c>
      <c r="U107" s="99">
        <f>INT(G107*I107/K107*M107/O107*Q107/S107)</f>
        <v>0</v>
      </c>
      <c r="V107" s="11"/>
    </row>
    <row r="108" spans="1:22" ht="14.45" customHeight="1">
      <c r="A108" s="11"/>
      <c r="B108" s="11"/>
      <c r="C108" s="11"/>
      <c r="D108" s="11"/>
      <c r="E108" s="96"/>
      <c r="F108" s="96"/>
      <c r="G108" s="11"/>
      <c r="H108" s="28"/>
      <c r="I108" s="28"/>
      <c r="J108" s="28"/>
      <c r="K108" s="28"/>
      <c r="L108" s="28"/>
      <c r="M108" s="28"/>
      <c r="N108" s="28"/>
      <c r="O108" s="388"/>
      <c r="P108" s="28"/>
      <c r="Q108" s="28"/>
      <c r="R108" s="28"/>
      <c r="S108" s="28"/>
      <c r="T108" s="28"/>
      <c r="U108" s="15"/>
      <c r="V108" s="11"/>
    </row>
    <row r="109" spans="1:22" ht="14.45" customHeight="1">
      <c r="A109" s="20"/>
      <c r="B109" s="59" t="s">
        <v>1020</v>
      </c>
      <c r="C109" s="20"/>
      <c r="D109" s="20"/>
      <c r="E109" s="102"/>
      <c r="F109" s="103">
        <f>F107+F105+F103</f>
        <v>57077</v>
      </c>
      <c r="G109" s="20"/>
      <c r="H109" s="21"/>
      <c r="I109" s="21"/>
      <c r="J109" s="21"/>
      <c r="K109" s="21"/>
      <c r="L109" s="21"/>
      <c r="M109" s="21"/>
      <c r="N109" s="21"/>
      <c r="O109" s="108"/>
      <c r="P109" s="21"/>
      <c r="Q109" s="21"/>
      <c r="R109" s="21"/>
      <c r="S109" s="21"/>
      <c r="T109" s="21"/>
      <c r="U109" s="22"/>
      <c r="V109" s="11"/>
    </row>
    <row r="110" spans="1:22" ht="14.45" customHeight="1">
      <c r="A110" s="11"/>
      <c r="B110" s="11"/>
      <c r="C110" s="11"/>
      <c r="D110" s="11"/>
      <c r="E110" s="11"/>
      <c r="F110" s="96"/>
      <c r="G110" s="11"/>
      <c r="O110" s="16"/>
      <c r="U110" s="15"/>
      <c r="V110" s="11"/>
    </row>
    <row r="111" spans="1:22" ht="14.45" customHeight="1">
      <c r="A111" s="55" t="s">
        <v>1169</v>
      </c>
      <c r="B111" s="55" t="s">
        <v>1146</v>
      </c>
      <c r="C111" s="11">
        <v>11.6</v>
      </c>
      <c r="D111" s="55" t="s">
        <v>636</v>
      </c>
      <c r="E111" s="385">
        <f>E79</f>
        <v>1528.38</v>
      </c>
      <c r="F111" s="97">
        <f>ROUNDDOWN(E111*C111,1)</f>
        <v>17729.2</v>
      </c>
      <c r="G111" s="11"/>
      <c r="U111" s="15"/>
      <c r="V111" s="11"/>
    </row>
    <row r="112" spans="1:22" ht="14.45" customHeight="1">
      <c r="A112" s="11"/>
      <c r="B112" s="11"/>
      <c r="C112" s="11"/>
      <c r="D112" s="11"/>
      <c r="E112" s="11"/>
      <c r="F112" s="11"/>
      <c r="G112" s="11"/>
      <c r="U112" s="15"/>
      <c r="V112" s="11"/>
    </row>
    <row r="113" spans="1:22" ht="14.45" customHeight="1">
      <c r="A113" s="11"/>
      <c r="B113" s="55" t="s">
        <v>484</v>
      </c>
      <c r="C113" s="11">
        <v>0.22</v>
      </c>
      <c r="D113" s="11"/>
      <c r="E113" s="101">
        <f>F111</f>
        <v>17729.2</v>
      </c>
      <c r="F113" s="97">
        <f>ROUNDDOWN(E113*C113,1)</f>
        <v>3900.4</v>
      </c>
      <c r="G113" s="11"/>
      <c r="U113" s="15"/>
      <c r="V113" s="11"/>
    </row>
    <row r="114" spans="1:22" ht="14.45" customHeight="1">
      <c r="A114" s="11"/>
      <c r="B114" s="11"/>
      <c r="C114" s="11"/>
      <c r="D114" s="11"/>
      <c r="E114" s="11"/>
      <c r="F114" s="96"/>
      <c r="G114" s="11"/>
      <c r="U114" s="15"/>
      <c r="V114" s="11"/>
    </row>
    <row r="115" spans="1:22" ht="14.45" customHeight="1">
      <c r="A115" s="11"/>
      <c r="B115" s="55"/>
      <c r="C115" s="11"/>
      <c r="D115" s="55"/>
      <c r="E115" s="98"/>
      <c r="F115" s="101"/>
      <c r="G115" s="11"/>
      <c r="U115" s="15"/>
      <c r="V115" s="11"/>
    </row>
    <row r="116" spans="1:22" ht="14.45" customHeight="1">
      <c r="A116" s="11"/>
      <c r="B116" s="11"/>
      <c r="C116" s="11"/>
      <c r="D116" s="11"/>
      <c r="E116" s="11"/>
      <c r="F116" s="96"/>
      <c r="G116" s="11"/>
      <c r="U116" s="15"/>
      <c r="V116" s="11"/>
    </row>
    <row r="117" spans="1:22" ht="14.45" customHeight="1">
      <c r="A117" s="11"/>
      <c r="B117" s="11"/>
      <c r="C117" s="11"/>
      <c r="D117" s="11"/>
      <c r="E117" s="11"/>
      <c r="F117" s="96"/>
      <c r="G117" s="11"/>
      <c r="U117" s="15"/>
      <c r="V117" s="11"/>
    </row>
    <row r="118" spans="1:22" ht="14.45" customHeight="1">
      <c r="A118" s="11"/>
      <c r="B118" s="11"/>
      <c r="C118" s="11"/>
      <c r="D118" s="11"/>
      <c r="E118" s="11"/>
      <c r="F118" s="96"/>
      <c r="G118" s="11"/>
      <c r="U118" s="15"/>
      <c r="V118" s="11"/>
    </row>
    <row r="119" spans="1:22" ht="14.45" customHeight="1">
      <c r="A119" s="11"/>
      <c r="B119" s="11"/>
      <c r="C119" s="11"/>
      <c r="D119" s="11"/>
      <c r="E119" s="11"/>
      <c r="F119" s="96"/>
      <c r="G119" s="11"/>
      <c r="U119" s="15"/>
      <c r="V119" s="11"/>
    </row>
    <row r="120" spans="1:22" ht="14.45" customHeight="1">
      <c r="A120" s="11"/>
      <c r="B120" s="11"/>
      <c r="C120" s="11"/>
      <c r="D120" s="11"/>
      <c r="E120" s="11"/>
      <c r="F120" s="96"/>
      <c r="G120" s="11"/>
      <c r="U120" s="15"/>
      <c r="V120" s="11"/>
    </row>
    <row r="121" spans="1:22" ht="14.45" customHeight="1">
      <c r="A121" s="20"/>
      <c r="B121" s="59" t="s">
        <v>1020</v>
      </c>
      <c r="C121" s="20"/>
      <c r="D121" s="20"/>
      <c r="E121" s="20"/>
      <c r="F121" s="103">
        <f>INT(F119+F117+F115+F113+F111)</f>
        <v>21629</v>
      </c>
      <c r="G121" s="20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2"/>
      <c r="V121" s="11"/>
    </row>
    <row r="122" spans="1:22" ht="14.45" customHeight="1">
      <c r="A122" s="11"/>
      <c r="B122" s="11"/>
      <c r="C122" s="11"/>
      <c r="D122" s="11"/>
      <c r="E122" s="11"/>
      <c r="F122" s="96"/>
      <c r="G122" s="11"/>
      <c r="U122" s="15"/>
      <c r="V122" s="11"/>
    </row>
    <row r="123" spans="1:22" ht="14.45" customHeight="1">
      <c r="A123" s="55" t="s">
        <v>1170</v>
      </c>
      <c r="B123" s="55" t="s">
        <v>1147</v>
      </c>
      <c r="C123" s="11"/>
      <c r="D123" s="11"/>
      <c r="E123" s="11"/>
      <c r="F123" s="105">
        <f>INT(H123*M123*O123)</f>
        <v>21332</v>
      </c>
      <c r="G123" s="11"/>
      <c r="H123" s="1126">
        <v>102313000</v>
      </c>
      <c r="I123" s="1126"/>
      <c r="J123" s="1126"/>
      <c r="K123" s="1126"/>
      <c r="L123" s="28" t="s">
        <v>921</v>
      </c>
      <c r="M123" s="106">
        <v>2085</v>
      </c>
      <c r="N123" s="10" t="s">
        <v>921</v>
      </c>
      <c r="O123" s="1017">
        <v>9.9999999999999995E-8</v>
      </c>
      <c r="P123" s="1017"/>
      <c r="Q123" s="1017"/>
      <c r="R123" s="1017"/>
      <c r="U123" s="15"/>
      <c r="V123" s="11"/>
    </row>
    <row r="124" spans="1:22" ht="14.45" customHeight="1">
      <c r="A124" s="11"/>
      <c r="B124" s="11"/>
      <c r="C124" s="11"/>
      <c r="D124" s="11"/>
      <c r="E124" s="11"/>
      <c r="F124" s="96"/>
      <c r="G124" s="11"/>
      <c r="U124" s="15"/>
      <c r="V124" s="11"/>
    </row>
    <row r="125" spans="1:22" ht="14.45" customHeight="1">
      <c r="A125" s="11"/>
      <c r="B125" s="11"/>
      <c r="C125" s="11"/>
      <c r="D125" s="11"/>
      <c r="E125" s="11"/>
      <c r="F125" s="96"/>
      <c r="G125" s="11"/>
      <c r="U125" s="15"/>
      <c r="V125" s="11"/>
    </row>
    <row r="126" spans="1:22" ht="14.45" customHeight="1">
      <c r="A126" s="11"/>
      <c r="B126" s="11"/>
      <c r="C126" s="11"/>
      <c r="D126" s="11"/>
      <c r="E126" s="11"/>
      <c r="F126" s="96"/>
      <c r="G126" s="11"/>
      <c r="U126" s="15"/>
      <c r="V126" s="11"/>
    </row>
    <row r="127" spans="1:22" ht="14.45" customHeight="1">
      <c r="A127" s="11"/>
      <c r="B127" s="11"/>
      <c r="C127" s="11"/>
      <c r="D127" s="11"/>
      <c r="E127" s="11"/>
      <c r="F127" s="96"/>
      <c r="G127" s="11"/>
      <c r="U127" s="15"/>
      <c r="V127" s="11"/>
    </row>
    <row r="128" spans="1:22" ht="14.45" customHeight="1">
      <c r="A128" s="20"/>
      <c r="B128" s="20"/>
      <c r="C128" s="20"/>
      <c r="D128" s="20"/>
      <c r="E128" s="20"/>
      <c r="F128" s="102"/>
      <c r="G128" s="20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2"/>
      <c r="V128" s="11"/>
    </row>
    <row r="129" spans="1:22" ht="14.45" customHeight="1">
      <c r="A129" s="11"/>
      <c r="B129" s="11"/>
      <c r="C129" s="11"/>
      <c r="D129" s="11"/>
      <c r="E129" s="11"/>
      <c r="F129" s="96"/>
      <c r="G129" s="11"/>
      <c r="U129" s="15"/>
      <c r="V129" s="11"/>
    </row>
    <row r="130" spans="1:22" ht="14.45" customHeight="1">
      <c r="A130" s="59" t="s">
        <v>1156</v>
      </c>
      <c r="B130" s="20"/>
      <c r="C130" s="20"/>
      <c r="D130" s="20"/>
      <c r="E130" s="20"/>
      <c r="F130" s="103">
        <f>F123+F121+F109</f>
        <v>100038</v>
      </c>
      <c r="G130" s="20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2"/>
      <c r="V130" s="11"/>
    </row>
    <row r="131" spans="1:22" ht="14.45" customHeight="1">
      <c r="A131" s="90" t="s">
        <v>2375</v>
      </c>
      <c r="B131" s="6"/>
      <c r="C131" s="6"/>
      <c r="D131" s="6"/>
      <c r="F131" s="80"/>
    </row>
    <row r="132" spans="1:22" ht="14.45" customHeight="1">
      <c r="A132" s="21"/>
      <c r="B132" s="21"/>
      <c r="C132" s="21"/>
      <c r="D132" s="21"/>
      <c r="E132" s="21"/>
      <c r="F132" s="107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</row>
    <row r="133" spans="1:22" ht="25.5" customHeight="1">
      <c r="A133" s="2" t="s">
        <v>1009</v>
      </c>
      <c r="B133" s="2" t="s">
        <v>1010</v>
      </c>
      <c r="C133" s="2" t="s">
        <v>1217</v>
      </c>
      <c r="D133" s="2" t="s">
        <v>1011</v>
      </c>
      <c r="E133" s="2" t="s">
        <v>207</v>
      </c>
      <c r="F133" s="2" t="s">
        <v>54</v>
      </c>
      <c r="G133" s="1119" t="s">
        <v>1766</v>
      </c>
      <c r="H133" s="1120"/>
      <c r="I133" s="1120"/>
      <c r="J133" s="1120"/>
      <c r="K133" s="1120"/>
      <c r="L133" s="1120"/>
      <c r="M133" s="1120"/>
      <c r="N133" s="1120"/>
      <c r="O133" s="1120"/>
      <c r="P133" s="1120"/>
      <c r="Q133" s="1120"/>
      <c r="R133" s="1120"/>
      <c r="S133" s="1120"/>
      <c r="T133" s="1120"/>
      <c r="U133" s="1121"/>
      <c r="V133" s="11"/>
    </row>
    <row r="134" spans="1:22" ht="14.45" customHeight="1">
      <c r="A134" s="11"/>
      <c r="B134" s="11"/>
      <c r="C134" s="11"/>
      <c r="D134" s="11"/>
      <c r="E134" s="11"/>
      <c r="F134" s="96"/>
      <c r="G134" s="11"/>
      <c r="U134" s="15"/>
      <c r="V134" s="11"/>
    </row>
    <row r="135" spans="1:22" ht="14.45" customHeight="1">
      <c r="A135" s="55" t="s">
        <v>1168</v>
      </c>
      <c r="B135" s="55" t="s">
        <v>1261</v>
      </c>
      <c r="C135" s="11">
        <v>1</v>
      </c>
      <c r="D135" s="55" t="s">
        <v>1328</v>
      </c>
      <c r="E135" s="96">
        <f>U135</f>
        <v>57077</v>
      </c>
      <c r="F135" s="97">
        <f>F103</f>
        <v>57077</v>
      </c>
      <c r="G135" s="101">
        <f>노임!$F3</f>
        <v>273971</v>
      </c>
      <c r="H135" s="28" t="s">
        <v>683</v>
      </c>
      <c r="I135" s="28">
        <v>1</v>
      </c>
      <c r="J135" s="28" t="s">
        <v>682</v>
      </c>
      <c r="K135" s="28">
        <f>K103</f>
        <v>8</v>
      </c>
      <c r="L135" s="28" t="s">
        <v>683</v>
      </c>
      <c r="M135" s="28">
        <f>M103</f>
        <v>25</v>
      </c>
      <c r="N135" s="28" t="s">
        <v>682</v>
      </c>
      <c r="O135" s="28">
        <f>O103</f>
        <v>20</v>
      </c>
      <c r="P135" s="28" t="s">
        <v>683</v>
      </c>
      <c r="Q135" s="28">
        <f>Q103</f>
        <v>16</v>
      </c>
      <c r="R135" s="28" t="s">
        <v>682</v>
      </c>
      <c r="S135" s="28">
        <f>S103</f>
        <v>12</v>
      </c>
      <c r="T135" s="28" t="s">
        <v>1167</v>
      </c>
      <c r="U135" s="99">
        <f>INT(G135*I135/K135*M135/O135*Q135/S135)</f>
        <v>57077</v>
      </c>
      <c r="V135" s="11"/>
    </row>
    <row r="136" spans="1:22" ht="14.45" customHeight="1">
      <c r="A136" s="11"/>
      <c r="B136" s="11"/>
      <c r="C136" s="11"/>
      <c r="D136" s="11"/>
      <c r="E136" s="11"/>
      <c r="F136" s="96"/>
      <c r="G136" s="96"/>
      <c r="H136" s="28"/>
      <c r="I136" s="28"/>
      <c r="J136" s="28"/>
      <c r="K136" s="28"/>
      <c r="L136" s="28"/>
      <c r="M136" s="28"/>
      <c r="N136" s="28"/>
      <c r="O136" s="388"/>
      <c r="P136" s="28"/>
      <c r="Q136" s="28"/>
      <c r="R136" s="28"/>
      <c r="S136" s="28"/>
      <c r="T136" s="28"/>
      <c r="U136" s="100"/>
      <c r="V136" s="11"/>
    </row>
    <row r="137" spans="1:22" ht="14.45" customHeight="1">
      <c r="A137" s="11"/>
      <c r="B137" s="55" t="s">
        <v>1262</v>
      </c>
      <c r="C137" s="11"/>
      <c r="D137" s="55" t="s">
        <v>1023</v>
      </c>
      <c r="E137" s="101"/>
      <c r="F137" s="97">
        <f>TRUNC((C137*E137),1)</f>
        <v>0</v>
      </c>
      <c r="G137" s="101"/>
      <c r="H137" s="28" t="s">
        <v>683</v>
      </c>
      <c r="I137" s="28">
        <v>1</v>
      </c>
      <c r="J137" s="28" t="s">
        <v>682</v>
      </c>
      <c r="K137" s="28">
        <f>K105</f>
        <v>8</v>
      </c>
      <c r="L137" s="28" t="s">
        <v>683</v>
      </c>
      <c r="M137" s="28">
        <f>M105</f>
        <v>25</v>
      </c>
      <c r="N137" s="28" t="s">
        <v>682</v>
      </c>
      <c r="O137" s="28">
        <f>O105</f>
        <v>20</v>
      </c>
      <c r="P137" s="28" t="s">
        <v>683</v>
      </c>
      <c r="Q137" s="28">
        <f>Q105</f>
        <v>16</v>
      </c>
      <c r="R137" s="28" t="s">
        <v>682</v>
      </c>
      <c r="S137" s="28">
        <f>S105</f>
        <v>12</v>
      </c>
      <c r="T137" s="28" t="s">
        <v>1167</v>
      </c>
      <c r="U137" s="99">
        <f>INT(G137*I137/K137*M137/O137*Q137/S137)</f>
        <v>0</v>
      </c>
      <c r="V137" s="11"/>
    </row>
    <row r="138" spans="1:22" ht="14.45" customHeight="1">
      <c r="A138" s="11"/>
      <c r="B138" s="11"/>
      <c r="C138" s="11"/>
      <c r="D138" s="11"/>
      <c r="E138" s="96"/>
      <c r="F138" s="96"/>
      <c r="G138" s="96"/>
      <c r="H138" s="28"/>
      <c r="I138" s="28"/>
      <c r="J138" s="28"/>
      <c r="K138" s="28"/>
      <c r="L138" s="28"/>
      <c r="M138" s="28"/>
      <c r="N138" s="28"/>
      <c r="O138" s="388"/>
      <c r="P138" s="28"/>
      <c r="Q138" s="28"/>
      <c r="R138" s="28"/>
      <c r="S138" s="28"/>
      <c r="T138" s="28"/>
      <c r="U138" s="100"/>
      <c r="V138" s="11"/>
    </row>
    <row r="139" spans="1:22" ht="14.45" customHeight="1">
      <c r="A139" s="11"/>
      <c r="B139" s="55" t="s">
        <v>1263</v>
      </c>
      <c r="C139" s="11"/>
      <c r="D139" s="55" t="s">
        <v>1023</v>
      </c>
      <c r="E139" s="101"/>
      <c r="F139" s="97">
        <f>TRUNC((C139*E139),1)</f>
        <v>0</v>
      </c>
      <c r="G139" s="101"/>
      <c r="H139" s="28" t="s">
        <v>683</v>
      </c>
      <c r="I139" s="28">
        <v>1</v>
      </c>
      <c r="J139" s="28" t="s">
        <v>682</v>
      </c>
      <c r="K139" s="28">
        <f>K107</f>
        <v>8</v>
      </c>
      <c r="L139" s="28" t="s">
        <v>683</v>
      </c>
      <c r="M139" s="28">
        <f>M107</f>
        <v>25</v>
      </c>
      <c r="N139" s="28" t="s">
        <v>682</v>
      </c>
      <c r="O139" s="28">
        <f>O107</f>
        <v>20</v>
      </c>
      <c r="P139" s="28" t="s">
        <v>683</v>
      </c>
      <c r="Q139" s="28">
        <f>Q107</f>
        <v>16</v>
      </c>
      <c r="R139" s="28" t="s">
        <v>682</v>
      </c>
      <c r="S139" s="28">
        <f>S107</f>
        <v>12</v>
      </c>
      <c r="T139" s="28" t="s">
        <v>1167</v>
      </c>
      <c r="U139" s="99">
        <f>INT(G139*I139/K139*M139/O139*Q139/S139)</f>
        <v>0</v>
      </c>
      <c r="V139" s="11"/>
    </row>
    <row r="140" spans="1:22" ht="14.45" customHeight="1">
      <c r="A140" s="11"/>
      <c r="B140" s="11"/>
      <c r="C140" s="11"/>
      <c r="D140" s="11"/>
      <c r="E140" s="11"/>
      <c r="F140" s="96"/>
      <c r="G140" s="11"/>
      <c r="O140" s="16"/>
      <c r="U140" s="15"/>
      <c r="V140" s="11"/>
    </row>
    <row r="141" spans="1:22" ht="14.45" customHeight="1">
      <c r="A141" s="20"/>
      <c r="B141" s="59" t="s">
        <v>1020</v>
      </c>
      <c r="C141" s="20"/>
      <c r="D141" s="20"/>
      <c r="E141" s="20"/>
      <c r="F141" s="103">
        <f>INT(F139+F137+F135)</f>
        <v>57077</v>
      </c>
      <c r="G141" s="20"/>
      <c r="H141" s="21"/>
      <c r="I141" s="21"/>
      <c r="J141" s="21"/>
      <c r="K141" s="21"/>
      <c r="L141" s="21"/>
      <c r="M141" s="21"/>
      <c r="N141" s="21"/>
      <c r="O141" s="108"/>
      <c r="P141" s="21"/>
      <c r="Q141" s="21"/>
      <c r="R141" s="21"/>
      <c r="S141" s="21"/>
      <c r="T141" s="21"/>
      <c r="U141" s="22"/>
      <c r="V141" s="11"/>
    </row>
    <row r="142" spans="1:22" ht="14.45" customHeight="1">
      <c r="A142" s="11"/>
      <c r="B142" s="11"/>
      <c r="C142" s="11"/>
      <c r="D142" s="11"/>
      <c r="E142" s="11"/>
      <c r="F142" s="96"/>
      <c r="G142" s="11"/>
      <c r="U142" s="15"/>
      <c r="V142" s="11"/>
    </row>
    <row r="143" spans="1:22" ht="14.45" customHeight="1">
      <c r="A143" s="55" t="s">
        <v>1169</v>
      </c>
      <c r="B143" s="55" t="s">
        <v>1146</v>
      </c>
      <c r="C143" s="11">
        <v>5</v>
      </c>
      <c r="D143" s="55" t="s">
        <v>636</v>
      </c>
      <c r="E143" s="385">
        <f>E111</f>
        <v>1528.38</v>
      </c>
      <c r="F143" s="97">
        <f>ROUNDDOWN(E143*C143,1)</f>
        <v>7641.9</v>
      </c>
      <c r="G143" s="11"/>
      <c r="U143" s="15"/>
      <c r="V143" s="11"/>
    </row>
    <row r="144" spans="1:22" ht="14.45" customHeight="1">
      <c r="A144" s="11"/>
      <c r="B144" s="11"/>
      <c r="C144" s="11"/>
      <c r="D144" s="11"/>
      <c r="E144" s="11"/>
      <c r="F144" s="11"/>
      <c r="G144" s="11"/>
      <c r="U144" s="15"/>
      <c r="V144" s="11"/>
    </row>
    <row r="145" spans="1:22" ht="14.45" customHeight="1">
      <c r="A145" s="11"/>
      <c r="B145" s="55" t="s">
        <v>1148</v>
      </c>
      <c r="C145" s="11">
        <v>0.21</v>
      </c>
      <c r="D145" s="11"/>
      <c r="E145" s="101">
        <f>F143</f>
        <v>7641.9</v>
      </c>
      <c r="F145" s="97">
        <f>ROUNDDOWN(E145*C145,1)</f>
        <v>1604.7</v>
      </c>
      <c r="G145" s="11"/>
      <c r="U145" s="15"/>
      <c r="V145" s="11"/>
    </row>
    <row r="146" spans="1:22" ht="14.45" customHeight="1">
      <c r="A146" s="11"/>
      <c r="B146" s="11"/>
      <c r="C146" s="11"/>
      <c r="D146" s="11"/>
      <c r="E146" s="11"/>
      <c r="F146" s="96"/>
      <c r="G146" s="11"/>
      <c r="U146" s="15"/>
      <c r="V146" s="11"/>
    </row>
    <row r="147" spans="1:22" ht="14.45" customHeight="1">
      <c r="A147" s="11"/>
      <c r="B147" s="55"/>
      <c r="C147" s="11"/>
      <c r="D147" s="55"/>
      <c r="E147" s="98"/>
      <c r="F147" s="101"/>
      <c r="G147" s="11"/>
      <c r="U147" s="15"/>
      <c r="V147" s="11"/>
    </row>
    <row r="148" spans="1:22" ht="14.45" customHeight="1">
      <c r="A148" s="11"/>
      <c r="B148" s="11"/>
      <c r="C148" s="11"/>
      <c r="D148" s="11"/>
      <c r="E148" s="11"/>
      <c r="F148" s="96"/>
      <c r="G148" s="11"/>
      <c r="U148" s="15"/>
      <c r="V148" s="11"/>
    </row>
    <row r="149" spans="1:22" ht="14.45" customHeight="1">
      <c r="A149" s="20"/>
      <c r="B149" s="59" t="s">
        <v>1020</v>
      </c>
      <c r="C149" s="20"/>
      <c r="D149" s="20"/>
      <c r="E149" s="20"/>
      <c r="F149" s="103">
        <f>INT(F147+F145+F143)</f>
        <v>9246</v>
      </c>
      <c r="G149" s="20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2"/>
      <c r="V149" s="11"/>
    </row>
    <row r="150" spans="1:22" ht="14.45" customHeight="1">
      <c r="A150" s="11"/>
      <c r="B150" s="11"/>
      <c r="C150" s="11"/>
      <c r="D150" s="11"/>
      <c r="E150" s="11"/>
      <c r="F150" s="96"/>
      <c r="G150" s="11"/>
      <c r="U150" s="15"/>
      <c r="V150" s="11"/>
    </row>
    <row r="151" spans="1:22" ht="14.45" customHeight="1">
      <c r="A151" s="55" t="s">
        <v>1170</v>
      </c>
      <c r="B151" s="55" t="s">
        <v>1149</v>
      </c>
      <c r="C151" s="11"/>
      <c r="D151" s="11"/>
      <c r="E151" s="11"/>
      <c r="F151" s="105">
        <f>INT(H151*M151*O151)</f>
        <v>12510</v>
      </c>
      <c r="G151" s="11"/>
      <c r="H151" s="1126">
        <v>60000000</v>
      </c>
      <c r="I151" s="1126"/>
      <c r="J151" s="1126"/>
      <c r="K151" s="1126"/>
      <c r="L151" s="28" t="s">
        <v>921</v>
      </c>
      <c r="M151" s="106">
        <v>2085</v>
      </c>
      <c r="N151" s="10" t="s">
        <v>921</v>
      </c>
      <c r="O151" s="1017">
        <v>9.9999999999999995E-8</v>
      </c>
      <c r="P151" s="1017"/>
      <c r="Q151" s="1017"/>
      <c r="R151" s="1017"/>
      <c r="U151" s="15"/>
      <c r="V151" s="11"/>
    </row>
    <row r="152" spans="1:22" ht="14.45" customHeight="1">
      <c r="A152" s="11"/>
      <c r="B152" s="11"/>
      <c r="C152" s="11"/>
      <c r="D152" s="11"/>
      <c r="E152" s="11"/>
      <c r="F152" s="96"/>
      <c r="G152" s="11"/>
      <c r="U152" s="15"/>
      <c r="V152" s="11"/>
    </row>
    <row r="153" spans="1:22" ht="14.45" customHeight="1">
      <c r="A153" s="11"/>
      <c r="B153" s="11"/>
      <c r="C153" s="11"/>
      <c r="D153" s="11"/>
      <c r="E153" s="11"/>
      <c r="F153" s="96"/>
      <c r="G153" s="11"/>
      <c r="U153" s="15"/>
      <c r="V153" s="11"/>
    </row>
    <row r="154" spans="1:22" ht="14.45" customHeight="1">
      <c r="A154" s="11"/>
      <c r="B154" s="11"/>
      <c r="C154" s="11"/>
      <c r="D154" s="11"/>
      <c r="E154" s="11"/>
      <c r="F154" s="96"/>
      <c r="G154" s="11"/>
      <c r="U154" s="15"/>
      <c r="V154" s="11"/>
    </row>
    <row r="155" spans="1:22" ht="14.45" customHeight="1">
      <c r="A155" s="11"/>
      <c r="B155" s="11"/>
      <c r="C155" s="11"/>
      <c r="D155" s="11"/>
      <c r="E155" s="11"/>
      <c r="F155" s="96"/>
      <c r="G155" s="11"/>
      <c r="U155" s="15"/>
      <c r="V155" s="11"/>
    </row>
    <row r="156" spans="1:22" ht="14.45" customHeight="1">
      <c r="A156" s="11"/>
      <c r="B156" s="11"/>
      <c r="C156" s="11"/>
      <c r="D156" s="11"/>
      <c r="E156" s="11"/>
      <c r="F156" s="96"/>
      <c r="G156" s="11"/>
      <c r="U156" s="15"/>
      <c r="V156" s="11"/>
    </row>
    <row r="157" spans="1:22" ht="14.45" customHeight="1">
      <c r="A157" s="11"/>
      <c r="B157" s="11"/>
      <c r="C157" s="11"/>
      <c r="D157" s="11"/>
      <c r="E157" s="11"/>
      <c r="F157" s="96"/>
      <c r="G157" s="11"/>
      <c r="U157" s="15"/>
      <c r="V157" s="11"/>
    </row>
    <row r="158" spans="1:22" ht="14.45" customHeight="1">
      <c r="A158" s="11"/>
      <c r="B158" s="11"/>
      <c r="C158" s="11"/>
      <c r="D158" s="11"/>
      <c r="E158" s="11"/>
      <c r="F158" s="96"/>
      <c r="G158" s="11"/>
      <c r="U158" s="15"/>
      <c r="V158" s="11"/>
    </row>
    <row r="159" spans="1:22" ht="14.45" customHeight="1">
      <c r="A159" s="11"/>
      <c r="B159" s="11"/>
      <c r="C159" s="11"/>
      <c r="D159" s="11"/>
      <c r="E159" s="11"/>
      <c r="F159" s="96"/>
      <c r="G159" s="11"/>
      <c r="U159" s="15"/>
      <c r="V159" s="11"/>
    </row>
    <row r="160" spans="1:22" ht="14.45" customHeight="1">
      <c r="A160" s="20"/>
      <c r="B160" s="20"/>
      <c r="C160" s="20"/>
      <c r="D160" s="20"/>
      <c r="E160" s="20"/>
      <c r="F160" s="102"/>
      <c r="G160" s="20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2"/>
      <c r="V160" s="11"/>
    </row>
    <row r="161" spans="1:22" ht="14.45" customHeight="1">
      <c r="A161" s="11"/>
      <c r="B161" s="11"/>
      <c r="C161" s="11"/>
      <c r="D161" s="11"/>
      <c r="E161" s="11"/>
      <c r="F161" s="96"/>
      <c r="G161" s="11"/>
      <c r="U161" s="15"/>
      <c r="V161" s="11"/>
    </row>
    <row r="162" spans="1:22" ht="14.45" customHeight="1">
      <c r="A162" s="59" t="s">
        <v>1156</v>
      </c>
      <c r="B162" s="20"/>
      <c r="C162" s="20"/>
      <c r="D162" s="20"/>
      <c r="E162" s="20"/>
      <c r="F162" s="103">
        <f>F141+F149+F151</f>
        <v>78833</v>
      </c>
      <c r="G162" s="20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2"/>
      <c r="V162" s="11"/>
    </row>
    <row r="163" spans="1:22" ht="14.45" customHeight="1">
      <c r="A163" s="90" t="s">
        <v>166</v>
      </c>
      <c r="B163" s="6"/>
      <c r="C163" s="6"/>
      <c r="D163" s="6"/>
      <c r="F163" s="80"/>
    </row>
    <row r="164" spans="1:22" ht="14.45" customHeight="1">
      <c r="A164" s="21"/>
      <c r="B164" s="21"/>
      <c r="C164" s="21"/>
      <c r="D164" s="21"/>
      <c r="E164" s="21"/>
      <c r="F164" s="107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</row>
    <row r="165" spans="1:22" ht="25.5" customHeight="1">
      <c r="A165" s="2" t="s">
        <v>1009</v>
      </c>
      <c r="B165" s="2" t="s">
        <v>1010</v>
      </c>
      <c r="C165" s="2" t="s">
        <v>1217</v>
      </c>
      <c r="D165" s="2" t="s">
        <v>1011</v>
      </c>
      <c r="E165" s="2" t="s">
        <v>207</v>
      </c>
      <c r="F165" s="2" t="s">
        <v>54</v>
      </c>
      <c r="G165" s="1119" t="s">
        <v>1766</v>
      </c>
      <c r="H165" s="1120"/>
      <c r="I165" s="1120"/>
      <c r="J165" s="1120"/>
      <c r="K165" s="1120"/>
      <c r="L165" s="1120"/>
      <c r="M165" s="1120"/>
      <c r="N165" s="1120"/>
      <c r="O165" s="1120"/>
      <c r="P165" s="1120"/>
      <c r="Q165" s="1120"/>
      <c r="R165" s="1120"/>
      <c r="S165" s="1120"/>
      <c r="T165" s="1120"/>
      <c r="U165" s="1121"/>
      <c r="V165" s="11"/>
    </row>
    <row r="166" spans="1:22" ht="14.45" customHeight="1">
      <c r="A166" s="11"/>
      <c r="B166" s="11"/>
      <c r="C166" s="11"/>
      <c r="D166" s="11"/>
      <c r="E166" s="11"/>
      <c r="F166" s="96"/>
      <c r="G166" s="11"/>
      <c r="U166" s="15"/>
    </row>
    <row r="167" spans="1:22" ht="14.45" customHeight="1">
      <c r="A167" s="55" t="s">
        <v>1168</v>
      </c>
      <c r="B167" s="55" t="s">
        <v>1261</v>
      </c>
      <c r="C167" s="11">
        <v>1</v>
      </c>
      <c r="D167" s="55" t="s">
        <v>1328</v>
      </c>
      <c r="E167" s="96">
        <f>U167</f>
        <v>57077</v>
      </c>
      <c r="F167" s="97">
        <f>U167</f>
        <v>57077</v>
      </c>
      <c r="G167" s="101">
        <f>노임!F3</f>
        <v>273971</v>
      </c>
      <c r="H167" s="28" t="s">
        <v>683</v>
      </c>
      <c r="I167" s="28">
        <v>1</v>
      </c>
      <c r="J167" s="28" t="s">
        <v>682</v>
      </c>
      <c r="K167" s="28">
        <f>K135</f>
        <v>8</v>
      </c>
      <c r="L167" s="28" t="s">
        <v>683</v>
      </c>
      <c r="M167" s="28">
        <f>M135</f>
        <v>25</v>
      </c>
      <c r="N167" s="28" t="s">
        <v>682</v>
      </c>
      <c r="O167" s="28">
        <f>O135</f>
        <v>20</v>
      </c>
      <c r="P167" s="28" t="s">
        <v>683</v>
      </c>
      <c r="Q167" s="28">
        <f>Q135</f>
        <v>16</v>
      </c>
      <c r="R167" s="28" t="s">
        <v>682</v>
      </c>
      <c r="S167" s="28">
        <f>S135</f>
        <v>12</v>
      </c>
      <c r="T167" s="28" t="s">
        <v>1167</v>
      </c>
      <c r="U167" s="99">
        <f>INT(G167*I167/K167*M167/O167*Q167/S167)</f>
        <v>57077</v>
      </c>
    </row>
    <row r="168" spans="1:22" ht="14.45" customHeight="1">
      <c r="A168" s="11"/>
      <c r="B168" s="11"/>
      <c r="C168" s="11"/>
      <c r="D168" s="11"/>
      <c r="E168" s="96"/>
      <c r="F168" s="96"/>
      <c r="G168" s="98"/>
      <c r="H168" s="28"/>
      <c r="I168" s="28"/>
      <c r="J168" s="28"/>
      <c r="K168" s="28"/>
      <c r="L168" s="28"/>
      <c r="M168" s="28"/>
      <c r="N168" s="28"/>
      <c r="O168" s="388"/>
      <c r="P168" s="28"/>
      <c r="Q168" s="28"/>
      <c r="R168" s="28"/>
      <c r="S168" s="28"/>
      <c r="T168" s="28"/>
      <c r="U168" s="100"/>
    </row>
    <row r="169" spans="1:22" ht="14.45" customHeight="1">
      <c r="A169" s="11"/>
      <c r="B169" s="55" t="s">
        <v>1262</v>
      </c>
      <c r="C169" s="11"/>
      <c r="D169" s="55" t="s">
        <v>1023</v>
      </c>
      <c r="E169" s="101"/>
      <c r="F169" s="97">
        <f>TRUNC((C169*E169),1)</f>
        <v>0</v>
      </c>
      <c r="G169" s="98"/>
      <c r="H169" s="28" t="s">
        <v>683</v>
      </c>
      <c r="I169" s="28">
        <v>1</v>
      </c>
      <c r="J169" s="28" t="s">
        <v>682</v>
      </c>
      <c r="K169" s="28">
        <f>K137</f>
        <v>8</v>
      </c>
      <c r="L169" s="28" t="s">
        <v>683</v>
      </c>
      <c r="M169" s="28">
        <f>M137</f>
        <v>25</v>
      </c>
      <c r="N169" s="28" t="s">
        <v>682</v>
      </c>
      <c r="O169" s="28">
        <f>O137</f>
        <v>20</v>
      </c>
      <c r="P169" s="28" t="s">
        <v>683</v>
      </c>
      <c r="Q169" s="28">
        <f>Q137</f>
        <v>16</v>
      </c>
      <c r="R169" s="28" t="s">
        <v>682</v>
      </c>
      <c r="S169" s="28">
        <f>S137</f>
        <v>12</v>
      </c>
      <c r="T169" s="28" t="s">
        <v>1167</v>
      </c>
      <c r="U169" s="99">
        <f>INT(G169*I169/K169*M169/O169*Q169/S169)</f>
        <v>0</v>
      </c>
    </row>
    <row r="170" spans="1:22" ht="14.45" customHeight="1">
      <c r="A170" s="11"/>
      <c r="B170" s="11"/>
      <c r="C170" s="11"/>
      <c r="D170" s="11"/>
      <c r="E170" s="96"/>
      <c r="F170" s="96"/>
      <c r="G170" s="98"/>
      <c r="H170" s="28"/>
      <c r="I170" s="28"/>
      <c r="J170" s="28"/>
      <c r="K170" s="28"/>
      <c r="L170" s="28"/>
      <c r="M170" s="28"/>
      <c r="N170" s="28"/>
      <c r="O170" s="388"/>
      <c r="P170" s="28"/>
      <c r="Q170" s="28"/>
      <c r="R170" s="28"/>
      <c r="S170" s="28"/>
      <c r="T170" s="28"/>
      <c r="U170" s="100"/>
    </row>
    <row r="171" spans="1:22" ht="14.45" customHeight="1">
      <c r="A171" s="11"/>
      <c r="B171" s="55" t="s">
        <v>1263</v>
      </c>
      <c r="C171" s="11"/>
      <c r="D171" s="55" t="s">
        <v>1023</v>
      </c>
      <c r="E171" s="101"/>
      <c r="F171" s="97">
        <f>TRUNC((C171*E171),1)</f>
        <v>0</v>
      </c>
      <c r="G171" s="98"/>
      <c r="H171" s="28" t="s">
        <v>683</v>
      </c>
      <c r="I171" s="28">
        <v>1</v>
      </c>
      <c r="J171" s="28" t="s">
        <v>682</v>
      </c>
      <c r="K171" s="28">
        <f>K139</f>
        <v>8</v>
      </c>
      <c r="L171" s="28" t="s">
        <v>683</v>
      </c>
      <c r="M171" s="28">
        <f>M139</f>
        <v>25</v>
      </c>
      <c r="N171" s="28" t="s">
        <v>682</v>
      </c>
      <c r="O171" s="28">
        <f>O139</f>
        <v>20</v>
      </c>
      <c r="P171" s="28" t="s">
        <v>683</v>
      </c>
      <c r="Q171" s="28">
        <f>Q139</f>
        <v>16</v>
      </c>
      <c r="R171" s="28" t="s">
        <v>682</v>
      </c>
      <c r="S171" s="28">
        <f>S139</f>
        <v>12</v>
      </c>
      <c r="T171" s="28" t="s">
        <v>1167</v>
      </c>
      <c r="U171" s="99">
        <f>INT(G171*I171/K171*M171/O171*Q171/S171)</f>
        <v>0</v>
      </c>
    </row>
    <row r="172" spans="1:22" ht="14.45" customHeight="1">
      <c r="A172" s="11"/>
      <c r="B172" s="11"/>
      <c r="C172" s="11"/>
      <c r="D172" s="11"/>
      <c r="E172" s="96"/>
      <c r="F172" s="96"/>
      <c r="G172" s="11"/>
      <c r="U172" s="15"/>
    </row>
    <row r="173" spans="1:22" ht="14.45" customHeight="1">
      <c r="A173" s="20"/>
      <c r="B173" s="59" t="s">
        <v>1020</v>
      </c>
      <c r="C173" s="20"/>
      <c r="D173" s="20"/>
      <c r="E173" s="102"/>
      <c r="F173" s="103">
        <f>F171+F169+F167</f>
        <v>57077</v>
      </c>
      <c r="G173" s="20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2"/>
    </row>
    <row r="174" spans="1:22" ht="14.45" customHeight="1">
      <c r="A174" s="11"/>
      <c r="B174" s="11"/>
      <c r="C174" s="11"/>
      <c r="D174" s="11"/>
      <c r="E174" s="11"/>
      <c r="F174" s="96"/>
      <c r="G174" s="11"/>
      <c r="U174" s="15"/>
    </row>
    <row r="175" spans="1:22" ht="14.45" customHeight="1">
      <c r="A175" s="55" t="s">
        <v>1169</v>
      </c>
      <c r="B175" s="55" t="s">
        <v>1146</v>
      </c>
      <c r="C175" s="11">
        <v>11.6</v>
      </c>
      <c r="D175" s="55" t="s">
        <v>636</v>
      </c>
      <c r="E175" s="101">
        <f>자재!F19</f>
        <v>1528.38</v>
      </c>
      <c r="F175" s="97">
        <f>ROUNDDOWN(E175*C175,1)</f>
        <v>17729.2</v>
      </c>
      <c r="G175" s="11"/>
      <c r="U175" s="15"/>
    </row>
    <row r="176" spans="1:22" ht="14.45" customHeight="1">
      <c r="A176" s="11"/>
      <c r="B176" s="11"/>
      <c r="C176" s="11"/>
      <c r="D176" s="11"/>
      <c r="E176" s="11"/>
      <c r="F176" s="11"/>
      <c r="G176" s="11"/>
      <c r="U176" s="15"/>
    </row>
    <row r="177" spans="1:21" ht="14.45" customHeight="1">
      <c r="A177" s="11"/>
      <c r="B177" s="55" t="s">
        <v>8</v>
      </c>
      <c r="C177" s="11">
        <v>0.22</v>
      </c>
      <c r="D177" s="11"/>
      <c r="E177" s="101">
        <f>F175</f>
        <v>17729.2</v>
      </c>
      <c r="F177" s="97">
        <f>ROUNDDOWN(E177*C177,1)</f>
        <v>3900.4</v>
      </c>
      <c r="G177" s="11"/>
      <c r="U177" s="15"/>
    </row>
    <row r="178" spans="1:21" ht="14.45" customHeight="1">
      <c r="A178" s="11"/>
      <c r="B178" s="11"/>
      <c r="C178" s="11"/>
      <c r="D178" s="11"/>
      <c r="E178" s="11"/>
      <c r="F178" s="96"/>
      <c r="G178" s="11"/>
      <c r="U178" s="15"/>
    </row>
    <row r="179" spans="1:21" ht="14.45" customHeight="1">
      <c r="A179" s="11"/>
      <c r="B179" s="55"/>
      <c r="C179" s="11"/>
      <c r="D179" s="55"/>
      <c r="E179" s="98"/>
      <c r="F179" s="101"/>
      <c r="G179" s="11"/>
      <c r="U179" s="15"/>
    </row>
    <row r="180" spans="1:21" ht="14.45" customHeight="1">
      <c r="A180" s="11"/>
      <c r="B180" s="11"/>
      <c r="C180" s="11"/>
      <c r="D180" s="11"/>
      <c r="E180" s="11"/>
      <c r="F180" s="96"/>
      <c r="G180" s="11"/>
      <c r="U180" s="15"/>
    </row>
    <row r="181" spans="1:21" ht="14.45" customHeight="1">
      <c r="A181" s="20"/>
      <c r="B181" s="59" t="s">
        <v>1020</v>
      </c>
      <c r="C181" s="20"/>
      <c r="D181" s="20"/>
      <c r="E181" s="20"/>
      <c r="F181" s="103">
        <f>INT(F179+F177+F175)</f>
        <v>21629</v>
      </c>
      <c r="G181" s="20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2"/>
    </row>
    <row r="182" spans="1:21" ht="14.45" customHeight="1">
      <c r="A182" s="11"/>
      <c r="B182" s="11"/>
      <c r="C182" s="11"/>
      <c r="D182" s="11"/>
      <c r="E182" s="11"/>
      <c r="F182" s="96"/>
      <c r="G182" s="11"/>
      <c r="U182" s="15"/>
    </row>
    <row r="183" spans="1:21" ht="14.45" customHeight="1">
      <c r="A183" s="55" t="s">
        <v>1170</v>
      </c>
      <c r="B183" s="55" t="s">
        <v>1149</v>
      </c>
      <c r="C183" s="11"/>
      <c r="D183" s="11"/>
      <c r="E183" s="11"/>
      <c r="F183" s="105">
        <f>INT(H183*M183*O183)</f>
        <v>21332</v>
      </c>
      <c r="G183" s="11"/>
      <c r="H183" s="1126">
        <v>102313000</v>
      </c>
      <c r="I183" s="1126"/>
      <c r="J183" s="1126"/>
      <c r="K183" s="1126"/>
      <c r="L183" s="28" t="s">
        <v>167</v>
      </c>
      <c r="M183" s="106">
        <v>2085</v>
      </c>
      <c r="N183" s="10" t="s">
        <v>167</v>
      </c>
      <c r="O183" s="1017">
        <v>9.9999999999999995E-8</v>
      </c>
      <c r="P183" s="1017"/>
      <c r="Q183" s="1017"/>
      <c r="R183" s="1017"/>
      <c r="U183" s="15"/>
    </row>
    <row r="184" spans="1:21" ht="14.45" customHeight="1">
      <c r="A184" s="11"/>
      <c r="B184" s="11"/>
      <c r="C184" s="11"/>
      <c r="D184" s="11"/>
      <c r="E184" s="11"/>
      <c r="F184" s="96"/>
      <c r="G184" s="11"/>
      <c r="U184" s="15"/>
    </row>
    <row r="185" spans="1:21" ht="14.45" customHeight="1">
      <c r="A185" s="11"/>
      <c r="B185" s="11"/>
      <c r="C185" s="11"/>
      <c r="D185" s="11"/>
      <c r="E185" s="11"/>
      <c r="F185" s="96"/>
      <c r="G185" s="11"/>
      <c r="U185" s="15"/>
    </row>
    <row r="186" spans="1:21" ht="14.45" customHeight="1">
      <c r="A186" s="11"/>
      <c r="B186" s="11"/>
      <c r="C186" s="11"/>
      <c r="D186" s="11"/>
      <c r="E186" s="11"/>
      <c r="F186" s="96"/>
      <c r="G186" s="11"/>
      <c r="U186" s="15"/>
    </row>
    <row r="187" spans="1:21" ht="14.45" customHeight="1">
      <c r="A187" s="11"/>
      <c r="B187" s="11"/>
      <c r="C187" s="11"/>
      <c r="D187" s="11"/>
      <c r="E187" s="11"/>
      <c r="F187" s="96"/>
      <c r="G187" s="11"/>
      <c r="U187" s="15"/>
    </row>
    <row r="188" spans="1:21" ht="14.45" customHeight="1">
      <c r="A188" s="11"/>
      <c r="B188" s="11"/>
      <c r="C188" s="11"/>
      <c r="D188" s="11"/>
      <c r="E188" s="11"/>
      <c r="F188" s="96"/>
      <c r="G188" s="11"/>
      <c r="U188" s="15"/>
    </row>
    <row r="189" spans="1:21" ht="14.45" customHeight="1">
      <c r="A189" s="11"/>
      <c r="B189" s="11"/>
      <c r="C189" s="11"/>
      <c r="D189" s="11"/>
      <c r="E189" s="11"/>
      <c r="F189" s="96"/>
      <c r="G189" s="11"/>
      <c r="U189" s="15"/>
    </row>
    <row r="190" spans="1:21" ht="14.45" customHeight="1">
      <c r="A190" s="11"/>
      <c r="B190" s="11"/>
      <c r="C190" s="11"/>
      <c r="D190" s="11"/>
      <c r="E190" s="11"/>
      <c r="F190" s="96"/>
      <c r="G190" s="11"/>
      <c r="U190" s="15"/>
    </row>
    <row r="191" spans="1:21" ht="14.45" customHeight="1">
      <c r="A191" s="11"/>
      <c r="B191" s="11"/>
      <c r="C191" s="11"/>
      <c r="D191" s="11"/>
      <c r="E191" s="11"/>
      <c r="F191" s="96"/>
      <c r="G191" s="11"/>
      <c r="U191" s="15"/>
    </row>
    <row r="192" spans="1:21" ht="14.45" customHeight="1">
      <c r="A192" s="20"/>
      <c r="B192" s="59" t="s">
        <v>1020</v>
      </c>
      <c r="C192" s="20"/>
      <c r="D192" s="20"/>
      <c r="E192" s="20"/>
      <c r="F192" s="102">
        <f>SUM(F182:F191)</f>
        <v>21332</v>
      </c>
      <c r="G192" s="20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2"/>
    </row>
    <row r="193" spans="1:22" ht="14.45" customHeight="1">
      <c r="A193" s="11"/>
      <c r="B193" s="11"/>
      <c r="C193" s="11"/>
      <c r="D193" s="11"/>
      <c r="E193" s="11"/>
      <c r="F193" s="96"/>
      <c r="G193" s="11"/>
      <c r="U193" s="15"/>
    </row>
    <row r="194" spans="1:22" ht="14.45" customHeight="1">
      <c r="A194" s="59" t="s">
        <v>1156</v>
      </c>
      <c r="B194" s="20"/>
      <c r="C194" s="20"/>
      <c r="D194" s="20"/>
      <c r="E194" s="20"/>
      <c r="F194" s="103">
        <f>F173+F181+F183</f>
        <v>100038</v>
      </c>
      <c r="G194" s="20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2"/>
    </row>
    <row r="195" spans="1:22" ht="14.45" customHeight="1">
      <c r="A195" s="90" t="s">
        <v>925</v>
      </c>
      <c r="B195" s="6"/>
      <c r="C195" s="6"/>
      <c r="F195" s="80"/>
    </row>
    <row r="196" spans="1:22" ht="14.45" customHeight="1">
      <c r="A196" s="21"/>
      <c r="B196" s="21"/>
      <c r="C196" s="21"/>
      <c r="D196" s="21"/>
      <c r="E196" s="21"/>
      <c r="F196" s="107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</row>
    <row r="197" spans="1:22" ht="25.5" customHeight="1">
      <c r="A197" s="2" t="s">
        <v>1009</v>
      </c>
      <c r="B197" s="2" t="s">
        <v>1010</v>
      </c>
      <c r="C197" s="2" t="s">
        <v>1217</v>
      </c>
      <c r="D197" s="2" t="s">
        <v>1011</v>
      </c>
      <c r="E197" s="2" t="s">
        <v>207</v>
      </c>
      <c r="F197" s="2" t="s">
        <v>54</v>
      </c>
      <c r="G197" s="1119" t="s">
        <v>1766</v>
      </c>
      <c r="H197" s="1120"/>
      <c r="I197" s="1120"/>
      <c r="J197" s="1120"/>
      <c r="K197" s="1120"/>
      <c r="L197" s="1120"/>
      <c r="M197" s="1120"/>
      <c r="N197" s="1120"/>
      <c r="O197" s="1120"/>
      <c r="P197" s="1120"/>
      <c r="Q197" s="1120"/>
      <c r="R197" s="1120"/>
      <c r="S197" s="1120"/>
      <c r="T197" s="1120"/>
      <c r="U197" s="1121"/>
      <c r="V197" s="11"/>
    </row>
    <row r="198" spans="1:22" ht="14.45" customHeight="1">
      <c r="A198" s="11"/>
      <c r="B198" s="55" t="s">
        <v>193</v>
      </c>
      <c r="C198" s="11">
        <v>1</v>
      </c>
      <c r="D198" s="55" t="s">
        <v>1328</v>
      </c>
      <c r="E198" s="101">
        <f>U198</f>
        <v>57077</v>
      </c>
      <c r="F198" s="97">
        <f>U198</f>
        <v>57077</v>
      </c>
      <c r="G198" s="101">
        <f>노임!F3</f>
        <v>273971</v>
      </c>
      <c r="H198" s="28" t="s">
        <v>683</v>
      </c>
      <c r="I198" s="28">
        <v>1</v>
      </c>
      <c r="J198" s="28" t="s">
        <v>682</v>
      </c>
      <c r="K198" s="28">
        <v>8</v>
      </c>
      <c r="L198" s="28" t="s">
        <v>683</v>
      </c>
      <c r="M198" s="28">
        <v>25</v>
      </c>
      <c r="N198" s="28" t="s">
        <v>682</v>
      </c>
      <c r="O198" s="28">
        <v>20</v>
      </c>
      <c r="P198" s="28" t="s">
        <v>683</v>
      </c>
      <c r="Q198" s="28">
        <v>16</v>
      </c>
      <c r="R198" s="28" t="s">
        <v>682</v>
      </c>
      <c r="S198" s="28">
        <v>12</v>
      </c>
      <c r="T198" s="28" t="s">
        <v>1167</v>
      </c>
      <c r="U198" s="99">
        <f>INT(G198*I198/K198*M198/O198*Q198/S198)</f>
        <v>57077</v>
      </c>
      <c r="V198" s="11"/>
    </row>
    <row r="199" spans="1:22" ht="14.45" customHeight="1">
      <c r="A199" s="55" t="s">
        <v>1168</v>
      </c>
      <c r="B199" s="11"/>
      <c r="C199" s="11"/>
      <c r="D199" s="11"/>
      <c r="E199" s="96"/>
      <c r="F199" s="96"/>
      <c r="G199" s="96"/>
      <c r="H199" s="28"/>
      <c r="I199" s="28"/>
      <c r="J199" s="28"/>
      <c r="K199" s="28"/>
      <c r="L199" s="28"/>
      <c r="M199" s="28"/>
      <c r="N199" s="28"/>
      <c r="O199" s="388"/>
      <c r="P199" s="28"/>
      <c r="Q199" s="28"/>
      <c r="R199" s="28"/>
      <c r="S199" s="28"/>
      <c r="T199" s="28"/>
      <c r="U199" s="100"/>
      <c r="V199" s="11"/>
    </row>
    <row r="200" spans="1:22" ht="14.45" customHeight="1">
      <c r="A200" s="11"/>
      <c r="B200" s="55" t="s">
        <v>1262</v>
      </c>
      <c r="C200" s="11"/>
      <c r="D200" s="55" t="s">
        <v>1023</v>
      </c>
      <c r="E200" s="101"/>
      <c r="F200" s="97">
        <f>TRUNC((C200*E200),1)</f>
        <v>0</v>
      </c>
      <c r="G200" s="101"/>
      <c r="H200" s="28" t="s">
        <v>683</v>
      </c>
      <c r="I200" s="28">
        <v>1</v>
      </c>
      <c r="J200" s="28" t="s">
        <v>682</v>
      </c>
      <c r="K200" s="28">
        <v>8</v>
      </c>
      <c r="L200" s="28" t="s">
        <v>683</v>
      </c>
      <c r="M200" s="28">
        <v>25</v>
      </c>
      <c r="N200" s="28" t="s">
        <v>682</v>
      </c>
      <c r="O200" s="28">
        <v>20</v>
      </c>
      <c r="P200" s="28" t="s">
        <v>683</v>
      </c>
      <c r="Q200" s="28">
        <v>16</v>
      </c>
      <c r="R200" s="28" t="s">
        <v>682</v>
      </c>
      <c r="S200" s="28">
        <v>12</v>
      </c>
      <c r="T200" s="28" t="s">
        <v>1167</v>
      </c>
      <c r="U200" s="99">
        <f>INT(G200*I200/K200*M200/O200*Q200/S200)</f>
        <v>0</v>
      </c>
      <c r="V200" s="11"/>
    </row>
    <row r="201" spans="1:22" ht="14.45" customHeight="1">
      <c r="A201" s="11"/>
      <c r="B201" s="11"/>
      <c r="C201" s="11"/>
      <c r="D201" s="11"/>
      <c r="E201" s="96"/>
      <c r="F201" s="96"/>
      <c r="G201" s="96"/>
      <c r="H201" s="28"/>
      <c r="I201" s="28"/>
      <c r="J201" s="28"/>
      <c r="K201" s="28"/>
      <c r="L201" s="28"/>
      <c r="M201" s="28"/>
      <c r="N201" s="28"/>
      <c r="O201" s="388"/>
      <c r="P201" s="28"/>
      <c r="Q201" s="28"/>
      <c r="R201" s="28"/>
      <c r="S201" s="28"/>
      <c r="T201" s="28"/>
      <c r="U201" s="100"/>
      <c r="V201" s="11"/>
    </row>
    <row r="202" spans="1:22" ht="14.45" customHeight="1">
      <c r="A202" s="11"/>
      <c r="B202" s="55" t="s">
        <v>1263</v>
      </c>
      <c r="C202" s="11"/>
      <c r="D202" s="55" t="s">
        <v>1023</v>
      </c>
      <c r="E202" s="101"/>
      <c r="F202" s="97">
        <f>TRUNC((C202*E202),1)</f>
        <v>0</v>
      </c>
      <c r="G202" s="101"/>
      <c r="H202" s="28" t="s">
        <v>683</v>
      </c>
      <c r="I202" s="28">
        <v>1</v>
      </c>
      <c r="J202" s="28" t="s">
        <v>682</v>
      </c>
      <c r="K202" s="28">
        <v>8</v>
      </c>
      <c r="L202" s="28" t="s">
        <v>683</v>
      </c>
      <c r="M202" s="28">
        <v>25</v>
      </c>
      <c r="N202" s="28" t="s">
        <v>682</v>
      </c>
      <c r="O202" s="28">
        <v>20</v>
      </c>
      <c r="P202" s="28" t="s">
        <v>683</v>
      </c>
      <c r="Q202" s="28">
        <v>16</v>
      </c>
      <c r="R202" s="28" t="s">
        <v>682</v>
      </c>
      <c r="S202" s="28">
        <v>12</v>
      </c>
      <c r="T202" s="28" t="s">
        <v>1167</v>
      </c>
      <c r="U202" s="99">
        <f>INT(G202*I202/K202*M202/O202*Q202/S202)</f>
        <v>0</v>
      </c>
      <c r="V202" s="11"/>
    </row>
    <row r="203" spans="1:22" ht="14.45" customHeight="1">
      <c r="A203" s="11"/>
      <c r="B203" s="11"/>
      <c r="C203" s="11"/>
      <c r="D203" s="11"/>
      <c r="E203" s="96"/>
      <c r="F203" s="96"/>
      <c r="G203" s="96"/>
      <c r="O203" s="16"/>
      <c r="U203" s="15"/>
      <c r="V203" s="11"/>
    </row>
    <row r="204" spans="1:22" ht="14.45" customHeight="1">
      <c r="A204" s="11"/>
      <c r="B204" s="55"/>
      <c r="C204" s="11"/>
      <c r="D204" s="55"/>
      <c r="E204" s="101"/>
      <c r="F204" s="101"/>
      <c r="G204" s="101"/>
      <c r="H204" s="14"/>
      <c r="J204" s="28"/>
      <c r="L204" s="28"/>
      <c r="M204" s="109"/>
      <c r="U204" s="15"/>
      <c r="V204" s="11"/>
    </row>
    <row r="205" spans="1:22" ht="14.45" customHeight="1">
      <c r="A205" s="20"/>
      <c r="B205" s="59" t="s">
        <v>1020</v>
      </c>
      <c r="C205" s="20"/>
      <c r="D205" s="20"/>
      <c r="E205" s="20"/>
      <c r="F205" s="103">
        <f>INT(F204+F202+F200+F198)</f>
        <v>57077</v>
      </c>
      <c r="G205" s="20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2"/>
      <c r="V205" s="11"/>
    </row>
    <row r="206" spans="1:22" ht="14.45" customHeight="1">
      <c r="A206" s="11"/>
      <c r="B206" s="11"/>
      <c r="C206" s="11"/>
      <c r="D206" s="11"/>
      <c r="E206" s="11"/>
      <c r="F206" s="96"/>
      <c r="G206" s="11"/>
      <c r="U206" s="15"/>
      <c r="V206" s="11"/>
    </row>
    <row r="207" spans="1:22" ht="14.45" customHeight="1">
      <c r="A207" s="55" t="s">
        <v>1169</v>
      </c>
      <c r="B207" s="55" t="s">
        <v>1146</v>
      </c>
      <c r="C207" s="11">
        <v>11.6</v>
      </c>
      <c r="D207" s="55" t="s">
        <v>636</v>
      </c>
      <c r="E207" s="385">
        <f>E143</f>
        <v>1528.38</v>
      </c>
      <c r="F207" s="97">
        <f>ROUNDDOWN(E207*C207,1)</f>
        <v>17729.2</v>
      </c>
      <c r="G207" s="11"/>
      <c r="U207" s="15"/>
      <c r="V207" s="11"/>
    </row>
    <row r="208" spans="1:22" ht="14.45" customHeight="1">
      <c r="A208" s="11"/>
      <c r="B208" s="11"/>
      <c r="C208" s="11"/>
      <c r="D208" s="11"/>
      <c r="E208" s="11"/>
      <c r="F208" s="11"/>
      <c r="G208" s="11"/>
      <c r="U208" s="15"/>
      <c r="V208" s="11"/>
    </row>
    <row r="209" spans="1:22" ht="14.45" customHeight="1">
      <c r="A209" s="11"/>
      <c r="B209" s="55" t="s">
        <v>960</v>
      </c>
      <c r="C209" s="11">
        <v>0.22</v>
      </c>
      <c r="D209" s="11"/>
      <c r="E209" s="101">
        <f>F207</f>
        <v>17729.2</v>
      </c>
      <c r="F209" s="97">
        <f>ROUNDDOWN(E209*C209,1)</f>
        <v>3900.4</v>
      </c>
      <c r="G209" s="11"/>
      <c r="U209" s="15"/>
      <c r="V209" s="11"/>
    </row>
    <row r="210" spans="1:22" ht="14.45" customHeight="1">
      <c r="A210" s="11"/>
      <c r="B210" s="55"/>
      <c r="C210" s="11"/>
      <c r="D210" s="11"/>
      <c r="E210" s="101"/>
      <c r="F210" s="97"/>
      <c r="G210" s="11"/>
      <c r="U210" s="15"/>
      <c r="V210" s="11"/>
    </row>
    <row r="211" spans="1:22" ht="14.45" customHeight="1">
      <c r="A211" s="11"/>
      <c r="B211" s="55"/>
      <c r="C211" s="11"/>
      <c r="D211" s="11"/>
      <c r="E211" s="101"/>
      <c r="F211" s="97"/>
      <c r="G211" s="11"/>
      <c r="U211" s="15"/>
      <c r="V211" s="11"/>
    </row>
    <row r="212" spans="1:22" ht="14.45" customHeight="1">
      <c r="A212" s="11"/>
      <c r="B212" s="11"/>
      <c r="C212" s="11"/>
      <c r="D212" s="11"/>
      <c r="E212" s="11"/>
      <c r="F212" s="96"/>
      <c r="G212" s="11"/>
      <c r="U212" s="15"/>
      <c r="V212" s="11"/>
    </row>
    <row r="213" spans="1:22" ht="14.45" customHeight="1">
      <c r="A213" s="20"/>
      <c r="B213" s="59" t="s">
        <v>1020</v>
      </c>
      <c r="C213" s="20"/>
      <c r="D213" s="20"/>
      <c r="E213" s="20"/>
      <c r="F213" s="103">
        <f>F207+F209</f>
        <v>21629.600000000002</v>
      </c>
      <c r="G213" s="20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2"/>
      <c r="V213" s="11"/>
    </row>
    <row r="214" spans="1:22" ht="14.45" customHeight="1">
      <c r="A214" s="11"/>
      <c r="B214" s="11"/>
      <c r="C214" s="11"/>
      <c r="D214" s="11"/>
      <c r="E214" s="11"/>
      <c r="F214" s="96"/>
      <c r="G214" s="11"/>
      <c r="U214" s="15"/>
      <c r="V214" s="11"/>
    </row>
    <row r="215" spans="1:22" ht="14.45" customHeight="1">
      <c r="A215" s="55" t="s">
        <v>1170</v>
      </c>
      <c r="B215" s="55" t="s">
        <v>1149</v>
      </c>
      <c r="C215" s="11" t="s">
        <v>2320</v>
      </c>
      <c r="D215" s="11"/>
      <c r="E215" s="11"/>
      <c r="F215" s="105">
        <f>INT(H215*M215*O215)</f>
        <v>21332</v>
      </c>
      <c r="G215" s="11"/>
      <c r="H215" s="1126">
        <v>102313000</v>
      </c>
      <c r="I215" s="1126"/>
      <c r="J215" s="1126"/>
      <c r="K215" s="1126"/>
      <c r="L215" s="28" t="s">
        <v>921</v>
      </c>
      <c r="M215" s="106">
        <v>2085</v>
      </c>
      <c r="N215" s="10" t="s">
        <v>921</v>
      </c>
      <c r="O215" s="1017">
        <v>9.9999999999999995E-8</v>
      </c>
      <c r="P215" s="1017"/>
      <c r="Q215" s="1017"/>
      <c r="R215" s="1017"/>
      <c r="U215" s="15"/>
      <c r="V215" s="11"/>
    </row>
    <row r="216" spans="1:22" ht="14.45" customHeight="1">
      <c r="A216" s="11"/>
      <c r="B216" s="11"/>
      <c r="C216" s="11"/>
      <c r="D216" s="11"/>
      <c r="E216" s="11"/>
      <c r="F216" s="96"/>
      <c r="G216" s="11"/>
      <c r="H216" s="741"/>
      <c r="I216" s="741"/>
      <c r="J216" s="741"/>
      <c r="K216" s="741"/>
      <c r="U216" s="15"/>
      <c r="V216" s="11"/>
    </row>
    <row r="217" spans="1:22" ht="14.45" customHeight="1">
      <c r="A217" s="11"/>
      <c r="B217" s="55" t="s">
        <v>194</v>
      </c>
      <c r="C217" s="11"/>
      <c r="D217" s="11"/>
      <c r="E217" s="11"/>
      <c r="F217" s="105">
        <f>INT(H217*M217*O217)</f>
        <v>10339</v>
      </c>
      <c r="G217" s="11"/>
      <c r="H217" s="1126">
        <f>중기가격!E17</f>
        <v>15827000</v>
      </c>
      <c r="I217" s="1126"/>
      <c r="J217" s="1126"/>
      <c r="K217" s="1126"/>
      <c r="L217" s="28" t="s">
        <v>921</v>
      </c>
      <c r="M217" s="106">
        <v>6533</v>
      </c>
      <c r="N217" s="10" t="s">
        <v>921</v>
      </c>
      <c r="O217" s="1017">
        <v>9.9999999999999995E-8</v>
      </c>
      <c r="P217" s="1017"/>
      <c r="Q217" s="1017"/>
      <c r="R217" s="1017"/>
      <c r="U217" s="15"/>
      <c r="V217" s="11"/>
    </row>
    <row r="218" spans="1:22" ht="14.45" customHeight="1">
      <c r="A218" s="11"/>
      <c r="B218" s="11"/>
      <c r="C218" s="11"/>
      <c r="D218" s="11"/>
      <c r="E218" s="11"/>
      <c r="F218" s="96"/>
      <c r="G218" s="11"/>
      <c r="U218" s="15"/>
      <c r="V218" s="11"/>
    </row>
    <row r="219" spans="1:22" ht="14.45" customHeight="1">
      <c r="A219" s="11"/>
      <c r="B219" s="55"/>
      <c r="C219" s="11"/>
      <c r="D219" s="11"/>
      <c r="E219" s="98"/>
      <c r="F219" s="101"/>
      <c r="G219" s="11"/>
      <c r="U219" s="15"/>
      <c r="V219" s="11"/>
    </row>
    <row r="220" spans="1:22" ht="14.45" customHeight="1">
      <c r="A220" s="11"/>
      <c r="B220" s="55"/>
      <c r="C220" s="11"/>
      <c r="D220" s="11"/>
      <c r="E220" s="98"/>
      <c r="F220" s="101"/>
      <c r="G220" s="11"/>
      <c r="U220" s="15"/>
      <c r="V220" s="11"/>
    </row>
    <row r="221" spans="1:22" ht="14.45" customHeight="1">
      <c r="A221" s="11"/>
      <c r="B221" s="55"/>
      <c r="C221" s="11"/>
      <c r="D221" s="11"/>
      <c r="E221" s="98"/>
      <c r="F221" s="101"/>
      <c r="G221" s="11"/>
      <c r="U221" s="15"/>
      <c r="V221" s="11"/>
    </row>
    <row r="222" spans="1:22" ht="14.45" customHeight="1">
      <c r="A222" s="11"/>
      <c r="B222" s="55"/>
      <c r="C222" s="11"/>
      <c r="D222" s="11"/>
      <c r="E222" s="98"/>
      <c r="F222" s="101"/>
      <c r="G222" s="11"/>
      <c r="U222" s="15"/>
      <c r="V222" s="11"/>
    </row>
    <row r="223" spans="1:22" ht="14.45" customHeight="1">
      <c r="A223" s="11"/>
      <c r="B223" s="11"/>
      <c r="C223" s="11"/>
      <c r="D223" s="11"/>
      <c r="E223" s="11"/>
      <c r="F223" s="96"/>
      <c r="G223" s="11"/>
      <c r="U223" s="15"/>
      <c r="V223" s="11"/>
    </row>
    <row r="224" spans="1:22" ht="14.45" customHeight="1">
      <c r="A224" s="20"/>
      <c r="B224" s="59" t="s">
        <v>1020</v>
      </c>
      <c r="C224" s="20"/>
      <c r="D224" s="20"/>
      <c r="E224" s="20"/>
      <c r="F224" s="103">
        <f>F219+F217+F215</f>
        <v>31671</v>
      </c>
      <c r="G224" s="20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2"/>
      <c r="V224" s="11"/>
    </row>
    <row r="225" spans="1:22" ht="14.45" customHeight="1">
      <c r="A225" s="11"/>
      <c r="B225" s="11"/>
      <c r="C225" s="11"/>
      <c r="D225" s="11"/>
      <c r="E225" s="11"/>
      <c r="F225" s="96"/>
      <c r="G225" s="11"/>
      <c r="U225" s="15"/>
      <c r="V225" s="11"/>
    </row>
    <row r="226" spans="1:22" ht="14.45" customHeight="1">
      <c r="A226" s="59" t="s">
        <v>1156</v>
      </c>
      <c r="B226" s="20"/>
      <c r="C226" s="20"/>
      <c r="D226" s="20"/>
      <c r="E226" s="20"/>
      <c r="F226" s="103">
        <f>F205+F213+F224</f>
        <v>110377.60000000001</v>
      </c>
      <c r="G226" s="20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2"/>
      <c r="V226" s="11"/>
    </row>
    <row r="227" spans="1:22" ht="14.45" customHeight="1">
      <c r="A227" s="1123" t="s">
        <v>2000</v>
      </c>
      <c r="B227" s="1123"/>
      <c r="C227" s="1123"/>
      <c r="D227" s="1123"/>
      <c r="F227" s="80"/>
    </row>
    <row r="228" spans="1:22" ht="14.45" customHeight="1">
      <c r="A228" s="21"/>
      <c r="B228" s="21"/>
      <c r="C228" s="21"/>
      <c r="D228" s="21"/>
      <c r="E228" s="21"/>
      <c r="F228" s="107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</row>
    <row r="229" spans="1:22" ht="25.5" customHeight="1">
      <c r="A229" s="2" t="s">
        <v>1009</v>
      </c>
      <c r="B229" s="2" t="s">
        <v>1010</v>
      </c>
      <c r="C229" s="2" t="s">
        <v>1217</v>
      </c>
      <c r="D229" s="2" t="s">
        <v>1011</v>
      </c>
      <c r="E229" s="2" t="s">
        <v>207</v>
      </c>
      <c r="F229" s="2" t="s">
        <v>54</v>
      </c>
      <c r="G229" s="1119" t="s">
        <v>1766</v>
      </c>
      <c r="H229" s="1120"/>
      <c r="I229" s="1120"/>
      <c r="J229" s="1120"/>
      <c r="K229" s="1120"/>
      <c r="L229" s="1120"/>
      <c r="M229" s="1120"/>
      <c r="N229" s="1120"/>
      <c r="O229" s="1120"/>
      <c r="P229" s="1120"/>
      <c r="Q229" s="1120"/>
      <c r="R229" s="1120"/>
      <c r="S229" s="1120"/>
      <c r="T229" s="1120"/>
      <c r="U229" s="1121"/>
      <c r="V229" s="11"/>
    </row>
    <row r="230" spans="1:22" ht="14.45" customHeight="1">
      <c r="A230" s="11"/>
      <c r="B230" s="11"/>
      <c r="C230" s="11"/>
      <c r="D230" s="11"/>
      <c r="E230" s="11"/>
      <c r="F230" s="96"/>
      <c r="G230" s="11"/>
      <c r="U230" s="15"/>
      <c r="V230" s="11"/>
    </row>
    <row r="231" spans="1:22" ht="14.45" customHeight="1">
      <c r="A231" s="55" t="s">
        <v>1168</v>
      </c>
      <c r="B231" s="55" t="s">
        <v>1261</v>
      </c>
      <c r="C231" s="11">
        <v>1</v>
      </c>
      <c r="D231" s="55" t="s">
        <v>1328</v>
      </c>
      <c r="E231" s="96">
        <f>U231</f>
        <v>57077</v>
      </c>
      <c r="F231" s="97">
        <f>U231</f>
        <v>57077</v>
      </c>
      <c r="G231" s="101">
        <f>노임!F3</f>
        <v>273971</v>
      </c>
      <c r="H231" s="28" t="s">
        <v>683</v>
      </c>
      <c r="I231" s="28">
        <v>1</v>
      </c>
      <c r="J231" s="28" t="s">
        <v>682</v>
      </c>
      <c r="K231" s="28">
        <v>8</v>
      </c>
      <c r="L231" s="28" t="s">
        <v>683</v>
      </c>
      <c r="M231" s="28">
        <v>25</v>
      </c>
      <c r="N231" s="28" t="s">
        <v>682</v>
      </c>
      <c r="O231" s="28">
        <v>20</v>
      </c>
      <c r="P231" s="28" t="s">
        <v>683</v>
      </c>
      <c r="Q231" s="28">
        <v>16</v>
      </c>
      <c r="R231" s="28" t="s">
        <v>682</v>
      </c>
      <c r="S231" s="28">
        <v>12</v>
      </c>
      <c r="T231" s="28" t="s">
        <v>1167</v>
      </c>
      <c r="U231" s="99">
        <f>INT(G231*I231/K231*M231/O231*Q231/S231)</f>
        <v>57077</v>
      </c>
      <c r="V231" s="11"/>
    </row>
    <row r="232" spans="1:22" ht="14.45" customHeight="1">
      <c r="A232" s="11"/>
      <c r="B232" s="11"/>
      <c r="C232" s="11"/>
      <c r="D232" s="11"/>
      <c r="E232" s="96"/>
      <c r="F232" s="96"/>
      <c r="G232" s="11"/>
      <c r="H232" s="28"/>
      <c r="I232" s="28"/>
      <c r="J232" s="28"/>
      <c r="K232" s="28"/>
      <c r="L232" s="28"/>
      <c r="M232" s="28"/>
      <c r="N232" s="28"/>
      <c r="O232" s="388"/>
      <c r="P232" s="28"/>
      <c r="Q232" s="28"/>
      <c r="R232" s="28"/>
      <c r="S232" s="28"/>
      <c r="T232" s="28"/>
      <c r="U232" s="100"/>
      <c r="V232" s="11"/>
    </row>
    <row r="233" spans="1:22" ht="14.45" customHeight="1">
      <c r="A233" s="11"/>
      <c r="B233" s="55" t="s">
        <v>1262</v>
      </c>
      <c r="C233" s="11"/>
      <c r="D233" s="55" t="s">
        <v>1023</v>
      </c>
      <c r="E233" s="101"/>
      <c r="F233" s="97">
        <f>TRUNC((C233*E233),1)</f>
        <v>0</v>
      </c>
      <c r="G233" s="101"/>
      <c r="H233" s="28" t="s">
        <v>683</v>
      </c>
      <c r="I233" s="28">
        <v>1</v>
      </c>
      <c r="J233" s="28" t="s">
        <v>682</v>
      </c>
      <c r="K233" s="28">
        <v>8</v>
      </c>
      <c r="L233" s="28" t="s">
        <v>683</v>
      </c>
      <c r="M233" s="28">
        <v>25</v>
      </c>
      <c r="N233" s="28" t="s">
        <v>682</v>
      </c>
      <c r="O233" s="28">
        <v>20</v>
      </c>
      <c r="P233" s="28" t="s">
        <v>683</v>
      </c>
      <c r="Q233" s="28">
        <v>16</v>
      </c>
      <c r="R233" s="28" t="s">
        <v>682</v>
      </c>
      <c r="S233" s="28">
        <v>12</v>
      </c>
      <c r="T233" s="28" t="s">
        <v>1167</v>
      </c>
      <c r="U233" s="99">
        <f>INT(G233*I233/K233*M233/O233*Q233/S233)</f>
        <v>0</v>
      </c>
      <c r="V233" s="11"/>
    </row>
    <row r="234" spans="1:22" ht="14.45" customHeight="1">
      <c r="A234" s="11"/>
      <c r="B234" s="11"/>
      <c r="C234" s="11"/>
      <c r="D234" s="11"/>
      <c r="E234" s="96"/>
      <c r="F234" s="96"/>
      <c r="G234" s="11"/>
      <c r="H234" s="28"/>
      <c r="I234" s="28"/>
      <c r="J234" s="28"/>
      <c r="K234" s="28"/>
      <c r="L234" s="28"/>
      <c r="M234" s="28"/>
      <c r="N234" s="28"/>
      <c r="O234" s="388"/>
      <c r="P234" s="28"/>
      <c r="Q234" s="28"/>
      <c r="R234" s="28"/>
      <c r="S234" s="28"/>
      <c r="T234" s="28"/>
      <c r="U234" s="100"/>
      <c r="V234" s="11"/>
    </row>
    <row r="235" spans="1:22" ht="14.45" customHeight="1">
      <c r="A235" s="11"/>
      <c r="B235" s="55" t="s">
        <v>1263</v>
      </c>
      <c r="C235" s="11"/>
      <c r="D235" s="55" t="s">
        <v>1023</v>
      </c>
      <c r="E235" s="101"/>
      <c r="F235" s="97">
        <f>TRUNC((C235*E235),1)</f>
        <v>0</v>
      </c>
      <c r="G235" s="101"/>
      <c r="H235" s="28" t="s">
        <v>683</v>
      </c>
      <c r="I235" s="28">
        <v>1</v>
      </c>
      <c r="J235" s="28" t="s">
        <v>682</v>
      </c>
      <c r="K235" s="28">
        <v>8</v>
      </c>
      <c r="L235" s="28" t="s">
        <v>683</v>
      </c>
      <c r="M235" s="28">
        <v>25</v>
      </c>
      <c r="N235" s="28" t="s">
        <v>682</v>
      </c>
      <c r="O235" s="28">
        <v>20</v>
      </c>
      <c r="P235" s="28" t="s">
        <v>683</v>
      </c>
      <c r="Q235" s="28">
        <v>16</v>
      </c>
      <c r="R235" s="28" t="s">
        <v>682</v>
      </c>
      <c r="S235" s="28">
        <v>12</v>
      </c>
      <c r="T235" s="28" t="s">
        <v>1167</v>
      </c>
      <c r="U235" s="99">
        <f>INT(G235*I235/K235*M235/O235*Q235/S235)</f>
        <v>0</v>
      </c>
      <c r="V235" s="11"/>
    </row>
    <row r="236" spans="1:22" ht="14.45" customHeight="1">
      <c r="A236" s="11"/>
      <c r="B236" s="11"/>
      <c r="C236" s="11"/>
      <c r="D236" s="11"/>
      <c r="E236" s="96"/>
      <c r="F236" s="96"/>
      <c r="G236" s="11"/>
      <c r="H236" s="28"/>
      <c r="I236" s="28"/>
      <c r="J236" s="28"/>
      <c r="K236" s="28"/>
      <c r="L236" s="28"/>
      <c r="M236" s="28"/>
      <c r="N236" s="28"/>
      <c r="O236" s="388"/>
      <c r="P236" s="28"/>
      <c r="Q236" s="28"/>
      <c r="R236" s="28"/>
      <c r="S236" s="28"/>
      <c r="T236" s="28"/>
      <c r="U236" s="15"/>
      <c r="V236" s="11"/>
    </row>
    <row r="237" spans="1:22" ht="14.45" customHeight="1">
      <c r="A237" s="20"/>
      <c r="B237" s="59" t="s">
        <v>1020</v>
      </c>
      <c r="C237" s="20"/>
      <c r="D237" s="20"/>
      <c r="E237" s="102"/>
      <c r="F237" s="103">
        <f>F235+F233+F231</f>
        <v>57077</v>
      </c>
      <c r="G237" s="20"/>
      <c r="H237" s="21"/>
      <c r="I237" s="21"/>
      <c r="J237" s="21"/>
      <c r="K237" s="21"/>
      <c r="L237" s="21"/>
      <c r="M237" s="21"/>
      <c r="N237" s="21"/>
      <c r="O237" s="108"/>
      <c r="P237" s="21"/>
      <c r="Q237" s="21"/>
      <c r="R237" s="21"/>
      <c r="S237" s="21"/>
      <c r="T237" s="21"/>
      <c r="U237" s="22"/>
      <c r="V237" s="11"/>
    </row>
    <row r="238" spans="1:22" ht="14.45" customHeight="1">
      <c r="A238" s="11"/>
      <c r="B238" s="11"/>
      <c r="C238" s="11"/>
      <c r="D238" s="11"/>
      <c r="E238" s="11"/>
      <c r="F238" s="96"/>
      <c r="G238" s="11"/>
      <c r="O238" s="16"/>
      <c r="U238" s="15"/>
      <c r="V238" s="11"/>
    </row>
    <row r="239" spans="1:22" ht="14.45" customHeight="1">
      <c r="A239" s="55" t="s">
        <v>1169</v>
      </c>
      <c r="B239" s="55" t="s">
        <v>1146</v>
      </c>
      <c r="C239" s="11">
        <v>19.5</v>
      </c>
      <c r="D239" s="55" t="s">
        <v>636</v>
      </c>
      <c r="E239" s="385">
        <f>E207</f>
        <v>1528.38</v>
      </c>
      <c r="F239" s="97">
        <f>ROUNDDOWN(E239*C239,1)</f>
        <v>29803.4</v>
      </c>
      <c r="G239" s="11"/>
      <c r="U239" s="15"/>
      <c r="V239" s="11"/>
    </row>
    <row r="240" spans="1:22" ht="14.45" customHeight="1">
      <c r="A240" s="11"/>
      <c r="B240" s="11"/>
      <c r="C240" s="11"/>
      <c r="D240" s="11"/>
      <c r="E240" s="11"/>
      <c r="F240" s="11"/>
      <c r="G240" s="11"/>
      <c r="U240" s="15"/>
      <c r="V240" s="11"/>
    </row>
    <row r="241" spans="1:22" ht="14.45" customHeight="1">
      <c r="A241" s="11"/>
      <c r="B241" s="55" t="s">
        <v>8</v>
      </c>
      <c r="C241" s="11">
        <v>0.22</v>
      </c>
      <c r="D241" s="11"/>
      <c r="E241" s="101">
        <f>F239</f>
        <v>29803.4</v>
      </c>
      <c r="F241" s="97">
        <f>ROUNDDOWN(E241*C241,1)</f>
        <v>6556.7</v>
      </c>
      <c r="G241" s="11"/>
      <c r="U241" s="15"/>
      <c r="V241" s="11"/>
    </row>
    <row r="242" spans="1:22" ht="14.45" customHeight="1">
      <c r="A242" s="11"/>
      <c r="B242" s="11"/>
      <c r="C242" s="11"/>
      <c r="D242" s="11"/>
      <c r="E242" s="11"/>
      <c r="F242" s="96"/>
      <c r="G242" s="11"/>
      <c r="U242" s="15"/>
      <c r="V242" s="11"/>
    </row>
    <row r="243" spans="1:22" ht="14.45" customHeight="1">
      <c r="A243" s="11"/>
      <c r="B243" s="55"/>
      <c r="C243" s="11"/>
      <c r="D243" s="55"/>
      <c r="E243" s="98"/>
      <c r="F243" s="101"/>
      <c r="G243" s="11"/>
      <c r="U243" s="15"/>
      <c r="V243" s="11"/>
    </row>
    <row r="244" spans="1:22" ht="14.45" customHeight="1">
      <c r="A244" s="11"/>
      <c r="B244" s="11"/>
      <c r="C244" s="11"/>
      <c r="D244" s="11"/>
      <c r="E244" s="11"/>
      <c r="F244" s="96"/>
      <c r="G244" s="11"/>
      <c r="U244" s="15"/>
      <c r="V244" s="11"/>
    </row>
    <row r="245" spans="1:22" ht="14.45" customHeight="1">
      <c r="A245" s="11"/>
      <c r="B245" s="11"/>
      <c r="C245" s="11"/>
      <c r="D245" s="11"/>
      <c r="E245" s="11"/>
      <c r="F245" s="96"/>
      <c r="G245" s="11"/>
      <c r="U245" s="15"/>
      <c r="V245" s="11"/>
    </row>
    <row r="246" spans="1:22" ht="14.45" customHeight="1">
      <c r="A246" s="11"/>
      <c r="B246" s="11"/>
      <c r="C246" s="11"/>
      <c r="D246" s="11"/>
      <c r="E246" s="11"/>
      <c r="F246" s="96"/>
      <c r="G246" s="11"/>
      <c r="U246" s="15"/>
      <c r="V246" s="11"/>
    </row>
    <row r="247" spans="1:22" ht="14.45" customHeight="1">
      <c r="A247" s="11"/>
      <c r="B247" s="11"/>
      <c r="C247" s="11"/>
      <c r="D247" s="11"/>
      <c r="E247" s="11"/>
      <c r="F247" s="96"/>
      <c r="G247" s="11"/>
      <c r="U247" s="15"/>
      <c r="V247" s="11"/>
    </row>
    <row r="248" spans="1:22" ht="14.45" customHeight="1">
      <c r="A248" s="11"/>
      <c r="B248" s="11"/>
      <c r="C248" s="11"/>
      <c r="D248" s="11"/>
      <c r="E248" s="11"/>
      <c r="F248" s="96"/>
      <c r="G248" s="11"/>
      <c r="U248" s="15"/>
      <c r="V248" s="11"/>
    </row>
    <row r="249" spans="1:22" ht="14.45" customHeight="1">
      <c r="A249" s="20"/>
      <c r="B249" s="59" t="s">
        <v>1020</v>
      </c>
      <c r="C249" s="20"/>
      <c r="D249" s="20"/>
      <c r="E249" s="20"/>
      <c r="F249" s="103">
        <f>INT(F247+F245+F243+F241+F239)</f>
        <v>36360</v>
      </c>
      <c r="G249" s="20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2"/>
      <c r="V249" s="11"/>
    </row>
    <row r="250" spans="1:22" ht="14.45" customHeight="1">
      <c r="A250" s="11"/>
      <c r="B250" s="11"/>
      <c r="C250" s="11"/>
      <c r="D250" s="11"/>
      <c r="E250" s="11"/>
      <c r="F250" s="96"/>
      <c r="G250" s="11"/>
      <c r="U250" s="15"/>
      <c r="V250" s="11"/>
    </row>
    <row r="251" spans="1:22" ht="14.45" customHeight="1">
      <c r="A251" s="55" t="s">
        <v>1170</v>
      </c>
      <c r="B251" s="55" t="s">
        <v>1147</v>
      </c>
      <c r="C251" s="11"/>
      <c r="D251" s="11"/>
      <c r="E251" s="11"/>
      <c r="F251" s="105">
        <f>INT(H251*M251*O251)</f>
        <v>25825</v>
      </c>
      <c r="G251" s="11"/>
      <c r="H251" s="1126">
        <v>123862000</v>
      </c>
      <c r="I251" s="1126"/>
      <c r="J251" s="1126"/>
      <c r="K251" s="1126"/>
      <c r="L251" s="28" t="s">
        <v>165</v>
      </c>
      <c r="M251" s="106">
        <v>2085</v>
      </c>
      <c r="N251" s="10" t="s">
        <v>165</v>
      </c>
      <c r="O251" s="1017">
        <v>9.9999999999999995E-8</v>
      </c>
      <c r="P251" s="1017"/>
      <c r="Q251" s="1017"/>
      <c r="R251" s="1017"/>
      <c r="U251" s="15"/>
      <c r="V251" s="11"/>
    </row>
    <row r="252" spans="1:22" ht="14.45" customHeight="1">
      <c r="A252" s="11"/>
      <c r="B252" s="11"/>
      <c r="C252" s="11"/>
      <c r="D252" s="11"/>
      <c r="E252" s="11"/>
      <c r="F252" s="96"/>
      <c r="G252" s="11"/>
      <c r="U252" s="15"/>
      <c r="V252" s="11"/>
    </row>
    <row r="253" spans="1:22" ht="14.45" customHeight="1">
      <c r="A253" s="11"/>
      <c r="B253" s="11"/>
      <c r="C253" s="11"/>
      <c r="D253" s="11"/>
      <c r="E253" s="11"/>
      <c r="F253" s="96"/>
      <c r="G253" s="11"/>
      <c r="U253" s="15"/>
      <c r="V253" s="11"/>
    </row>
    <row r="254" spans="1:22" ht="14.45" customHeight="1">
      <c r="A254" s="11"/>
      <c r="B254" s="11"/>
      <c r="C254" s="11"/>
      <c r="D254" s="11"/>
      <c r="E254" s="11"/>
      <c r="F254" s="96"/>
      <c r="G254" s="11"/>
      <c r="U254" s="15"/>
      <c r="V254" s="11"/>
    </row>
    <row r="255" spans="1:22" ht="14.45" customHeight="1">
      <c r="A255" s="11"/>
      <c r="B255" s="11"/>
      <c r="C255" s="11"/>
      <c r="D255" s="11"/>
      <c r="E255" s="11"/>
      <c r="F255" s="96"/>
      <c r="G255" s="11"/>
      <c r="U255" s="15"/>
      <c r="V255" s="11"/>
    </row>
    <row r="256" spans="1:22" ht="14.45" customHeight="1">
      <c r="A256" s="20"/>
      <c r="B256" s="20"/>
      <c r="C256" s="20"/>
      <c r="D256" s="20"/>
      <c r="E256" s="20"/>
      <c r="F256" s="102"/>
      <c r="G256" s="20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2"/>
      <c r="V256" s="11"/>
    </row>
    <row r="257" spans="1:22" ht="14.45" customHeight="1">
      <c r="A257" s="11"/>
      <c r="B257" s="11"/>
      <c r="C257" s="11"/>
      <c r="D257" s="11"/>
      <c r="E257" s="11"/>
      <c r="F257" s="96"/>
      <c r="G257" s="11"/>
      <c r="U257" s="15"/>
      <c r="V257" s="11"/>
    </row>
    <row r="258" spans="1:22" ht="14.45" customHeight="1">
      <c r="A258" s="59" t="s">
        <v>1156</v>
      </c>
      <c r="B258" s="20"/>
      <c r="C258" s="20"/>
      <c r="D258" s="20"/>
      <c r="E258" s="20"/>
      <c r="F258" s="103">
        <f>F251+F249+F237</f>
        <v>119262</v>
      </c>
      <c r="G258" s="20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2"/>
      <c r="V258" s="11"/>
    </row>
    <row r="259" spans="1:22" ht="14.45" customHeight="1">
      <c r="A259" s="90" t="s">
        <v>961</v>
      </c>
      <c r="B259" s="6"/>
      <c r="C259" s="6"/>
      <c r="F259" s="80"/>
    </row>
    <row r="260" spans="1:22" ht="14.45" customHeight="1">
      <c r="A260" s="21"/>
      <c r="B260" s="21"/>
      <c r="C260" s="21"/>
      <c r="D260" s="21"/>
      <c r="E260" s="21"/>
      <c r="F260" s="107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</row>
    <row r="261" spans="1:22" ht="25.5" customHeight="1">
      <c r="A261" s="2" t="s">
        <v>1009</v>
      </c>
      <c r="B261" s="2" t="s">
        <v>1010</v>
      </c>
      <c r="C261" s="2" t="s">
        <v>1217</v>
      </c>
      <c r="D261" s="2" t="s">
        <v>1011</v>
      </c>
      <c r="E261" s="2" t="s">
        <v>207</v>
      </c>
      <c r="F261" s="2" t="s">
        <v>54</v>
      </c>
      <c r="G261" s="1119" t="s">
        <v>1766</v>
      </c>
      <c r="H261" s="1120"/>
      <c r="I261" s="1120"/>
      <c r="J261" s="1120"/>
      <c r="K261" s="1120"/>
      <c r="L261" s="1120"/>
      <c r="M261" s="1120"/>
      <c r="N261" s="1120"/>
      <c r="O261" s="1120"/>
      <c r="P261" s="1120"/>
      <c r="Q261" s="1120"/>
      <c r="R261" s="1120"/>
      <c r="S261" s="1120"/>
      <c r="T261" s="1120"/>
      <c r="U261" s="1121"/>
      <c r="V261" s="11"/>
    </row>
    <row r="262" spans="1:22" ht="14.45" customHeight="1">
      <c r="A262" s="11"/>
      <c r="B262" s="11"/>
      <c r="C262" s="11"/>
      <c r="D262" s="11"/>
      <c r="E262" s="11"/>
      <c r="F262" s="96"/>
      <c r="G262" s="11"/>
      <c r="U262" s="15"/>
      <c r="V262" s="11"/>
    </row>
    <row r="263" spans="1:22" ht="14.45" customHeight="1">
      <c r="A263" s="55" t="s">
        <v>1168</v>
      </c>
      <c r="B263" s="55" t="s">
        <v>1261</v>
      </c>
      <c r="C263" s="11">
        <v>1</v>
      </c>
      <c r="D263" s="55" t="s">
        <v>1328</v>
      </c>
      <c r="E263" s="96">
        <f>U263</f>
        <v>57077</v>
      </c>
      <c r="F263" s="97">
        <f>U263</f>
        <v>57077</v>
      </c>
      <c r="G263" s="98">
        <f>노임!$F$3</f>
        <v>273971</v>
      </c>
      <c r="H263" s="28" t="s">
        <v>683</v>
      </c>
      <c r="I263" s="28">
        <v>1</v>
      </c>
      <c r="J263" s="28" t="s">
        <v>682</v>
      </c>
      <c r="K263" s="28">
        <v>8</v>
      </c>
      <c r="L263" s="28" t="s">
        <v>683</v>
      </c>
      <c r="M263" s="28">
        <v>25</v>
      </c>
      <c r="N263" s="28" t="s">
        <v>682</v>
      </c>
      <c r="O263" s="28">
        <v>20</v>
      </c>
      <c r="P263" s="28" t="s">
        <v>683</v>
      </c>
      <c r="Q263" s="28">
        <v>16</v>
      </c>
      <c r="R263" s="28" t="s">
        <v>682</v>
      </c>
      <c r="S263" s="28">
        <v>12</v>
      </c>
      <c r="T263" s="28" t="s">
        <v>1167</v>
      </c>
      <c r="U263" s="99">
        <f>INT(G263*I263/K263*M263/O263*Q263/S263)</f>
        <v>57077</v>
      </c>
      <c r="V263" s="11"/>
    </row>
    <row r="264" spans="1:22" ht="14.45" customHeight="1">
      <c r="A264" s="11"/>
      <c r="B264" s="11"/>
      <c r="C264" s="11"/>
      <c r="D264" s="11"/>
      <c r="E264" s="11"/>
      <c r="F264" s="96"/>
      <c r="G264" s="96"/>
      <c r="H264" s="28"/>
      <c r="I264" s="28"/>
      <c r="J264" s="28"/>
      <c r="K264" s="28"/>
      <c r="L264" s="28"/>
      <c r="M264" s="28"/>
      <c r="N264" s="28"/>
      <c r="O264" s="388"/>
      <c r="P264" s="28"/>
      <c r="Q264" s="28"/>
      <c r="R264" s="28"/>
      <c r="S264" s="28"/>
      <c r="T264" s="28"/>
      <c r="U264" s="100"/>
    </row>
    <row r="265" spans="1:22" ht="14.45" customHeight="1">
      <c r="A265" s="11"/>
      <c r="B265" s="55" t="s">
        <v>1262</v>
      </c>
      <c r="C265" s="11"/>
      <c r="D265" s="55" t="s">
        <v>1023</v>
      </c>
      <c r="E265" s="101"/>
      <c r="F265" s="97">
        <f>TRUNC((C265*E265),1)</f>
        <v>0</v>
      </c>
      <c r="G265" s="101"/>
      <c r="H265" s="28" t="s">
        <v>683</v>
      </c>
      <c r="I265" s="28">
        <v>1</v>
      </c>
      <c r="J265" s="28" t="s">
        <v>682</v>
      </c>
      <c r="K265" s="28">
        <v>8</v>
      </c>
      <c r="L265" s="28" t="s">
        <v>683</v>
      </c>
      <c r="M265" s="28">
        <v>25</v>
      </c>
      <c r="N265" s="28" t="s">
        <v>682</v>
      </c>
      <c r="O265" s="28">
        <v>20</v>
      </c>
      <c r="P265" s="28" t="s">
        <v>683</v>
      </c>
      <c r="Q265" s="28">
        <v>16</v>
      </c>
      <c r="R265" s="28" t="s">
        <v>682</v>
      </c>
      <c r="S265" s="28">
        <v>12</v>
      </c>
      <c r="T265" s="28" t="s">
        <v>1167</v>
      </c>
      <c r="U265" s="99">
        <f>INT(G265*I265/K265*M265/O265*Q265/S265)</f>
        <v>0</v>
      </c>
      <c r="V265" s="11"/>
    </row>
    <row r="266" spans="1:22" ht="14.45" customHeight="1">
      <c r="A266" s="11"/>
      <c r="B266" s="11"/>
      <c r="C266" s="11"/>
      <c r="D266" s="11"/>
      <c r="E266" s="96"/>
      <c r="F266" s="96"/>
      <c r="G266" s="96"/>
      <c r="H266" s="28"/>
      <c r="I266" s="28"/>
      <c r="J266" s="28"/>
      <c r="K266" s="28"/>
      <c r="L266" s="28"/>
      <c r="M266" s="28"/>
      <c r="N266" s="28"/>
      <c r="O266" s="388"/>
      <c r="P266" s="28"/>
      <c r="Q266" s="28"/>
      <c r="R266" s="28"/>
      <c r="S266" s="28"/>
      <c r="T266" s="28"/>
      <c r="U266" s="100"/>
      <c r="V266" s="11"/>
    </row>
    <row r="267" spans="1:22" ht="14.45" customHeight="1">
      <c r="A267" s="11"/>
      <c r="B267" s="55" t="s">
        <v>1263</v>
      </c>
      <c r="C267" s="11"/>
      <c r="D267" s="55" t="s">
        <v>1023</v>
      </c>
      <c r="E267" s="101"/>
      <c r="F267" s="97">
        <f>TRUNC((C267*E267),1)</f>
        <v>0</v>
      </c>
      <c r="G267" s="101"/>
      <c r="H267" s="28" t="s">
        <v>683</v>
      </c>
      <c r="I267" s="28">
        <v>1</v>
      </c>
      <c r="J267" s="28" t="s">
        <v>682</v>
      </c>
      <c r="K267" s="28">
        <v>8</v>
      </c>
      <c r="L267" s="28" t="s">
        <v>683</v>
      </c>
      <c r="M267" s="28">
        <v>25</v>
      </c>
      <c r="N267" s="28" t="s">
        <v>682</v>
      </c>
      <c r="O267" s="28">
        <v>20</v>
      </c>
      <c r="P267" s="28" t="s">
        <v>683</v>
      </c>
      <c r="Q267" s="28">
        <v>16</v>
      </c>
      <c r="R267" s="28" t="s">
        <v>682</v>
      </c>
      <c r="S267" s="28">
        <v>12</v>
      </c>
      <c r="T267" s="28" t="s">
        <v>1167</v>
      </c>
      <c r="U267" s="99">
        <f>INT(G267*I267/K267*M267/O267*Q267/S267)</f>
        <v>0</v>
      </c>
      <c r="V267" s="11"/>
    </row>
    <row r="268" spans="1:22" ht="14.45" customHeight="1">
      <c r="A268" s="11"/>
      <c r="B268" s="11"/>
      <c r="C268" s="11"/>
      <c r="D268" s="11"/>
      <c r="E268" s="11"/>
      <c r="F268" s="96"/>
      <c r="G268" s="11"/>
      <c r="U268" s="15"/>
      <c r="V268" s="11"/>
    </row>
    <row r="269" spans="1:22" ht="14.45" customHeight="1">
      <c r="A269" s="20"/>
      <c r="B269" s="59" t="s">
        <v>1020</v>
      </c>
      <c r="C269" s="20"/>
      <c r="D269" s="20"/>
      <c r="E269" s="20"/>
      <c r="F269" s="103">
        <f>INT(F267+F265+F263)</f>
        <v>57077</v>
      </c>
      <c r="G269" s="20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2"/>
      <c r="V269" s="11"/>
    </row>
    <row r="270" spans="1:22" ht="14.45" customHeight="1">
      <c r="A270" s="11"/>
      <c r="B270" s="11"/>
      <c r="C270" s="11"/>
      <c r="D270" s="11"/>
      <c r="E270" s="11"/>
      <c r="F270" s="96"/>
      <c r="G270" s="11"/>
      <c r="U270" s="15"/>
      <c r="V270" s="11"/>
    </row>
    <row r="271" spans="1:22" ht="14.45" customHeight="1">
      <c r="A271" s="55" t="s">
        <v>1169</v>
      </c>
      <c r="B271" s="55" t="s">
        <v>1146</v>
      </c>
      <c r="C271" s="11">
        <v>5.8</v>
      </c>
      <c r="D271" s="55" t="s">
        <v>636</v>
      </c>
      <c r="E271" s="104">
        <f>자재!$F$19</f>
        <v>1528.38</v>
      </c>
      <c r="F271" s="97">
        <f>ROUNDDOWN(E271*C271,1)</f>
        <v>8864.6</v>
      </c>
      <c r="G271" s="11"/>
      <c r="U271" s="15"/>
      <c r="V271" s="11"/>
    </row>
    <row r="272" spans="1:22" ht="14.45" customHeight="1">
      <c r="A272" s="11"/>
      <c r="B272" s="11"/>
      <c r="C272" s="11"/>
      <c r="D272" s="11"/>
      <c r="E272" s="11"/>
      <c r="F272" s="11"/>
      <c r="G272" s="11"/>
      <c r="U272" s="15"/>
      <c r="V272" s="11"/>
    </row>
    <row r="273" spans="1:22" ht="14.45" customHeight="1">
      <c r="A273" s="11"/>
      <c r="B273" s="55" t="s">
        <v>1153</v>
      </c>
      <c r="C273" s="11">
        <v>0.2</v>
      </c>
      <c r="D273" s="11"/>
      <c r="E273" s="101">
        <f>F271</f>
        <v>8864.6</v>
      </c>
      <c r="F273" s="97">
        <f>ROUNDDOWN(E273*C273,1)</f>
        <v>1772.9</v>
      </c>
      <c r="G273" s="11"/>
      <c r="U273" s="15"/>
      <c r="V273" s="11"/>
    </row>
    <row r="274" spans="1:22" ht="14.45" customHeight="1">
      <c r="A274" s="11"/>
      <c r="B274" s="11"/>
      <c r="C274" s="11"/>
      <c r="D274" s="11"/>
      <c r="E274" s="11"/>
      <c r="F274" s="96"/>
      <c r="G274" s="11"/>
      <c r="U274" s="15"/>
      <c r="V274" s="11"/>
    </row>
    <row r="275" spans="1:22" ht="14.45" customHeight="1">
      <c r="A275" s="11"/>
      <c r="B275" s="11"/>
      <c r="C275" s="11"/>
      <c r="D275" s="11"/>
      <c r="E275" s="11"/>
      <c r="F275" s="96"/>
      <c r="G275" s="11"/>
      <c r="U275" s="15"/>
      <c r="V275" s="11"/>
    </row>
    <row r="276" spans="1:22" ht="14.45" customHeight="1">
      <c r="A276" s="11"/>
      <c r="B276" s="11"/>
      <c r="C276" s="11"/>
      <c r="D276" s="11"/>
      <c r="E276" s="11"/>
      <c r="F276" s="96"/>
      <c r="G276" s="11"/>
      <c r="U276" s="15"/>
      <c r="V276" s="11"/>
    </row>
    <row r="277" spans="1:22" ht="14.45" customHeight="1">
      <c r="A277" s="11"/>
      <c r="B277" s="11"/>
      <c r="C277" s="11"/>
      <c r="D277" s="11"/>
      <c r="E277" s="11"/>
      <c r="F277" s="96"/>
      <c r="G277" s="11"/>
      <c r="U277" s="15"/>
      <c r="V277" s="11"/>
    </row>
    <row r="278" spans="1:22" ht="14.45" customHeight="1">
      <c r="A278" s="11"/>
      <c r="B278" s="11"/>
      <c r="C278" s="11"/>
      <c r="D278" s="11"/>
      <c r="E278" s="11"/>
      <c r="F278" s="96"/>
      <c r="G278" s="11"/>
      <c r="U278" s="15"/>
      <c r="V278" s="11"/>
    </row>
    <row r="279" spans="1:22" ht="14.45" customHeight="1">
      <c r="A279" s="11"/>
      <c r="B279" s="11"/>
      <c r="C279" s="11"/>
      <c r="D279" s="11"/>
      <c r="E279" s="11"/>
      <c r="F279" s="96"/>
      <c r="G279" s="11"/>
      <c r="U279" s="15"/>
      <c r="V279" s="11"/>
    </row>
    <row r="280" spans="1:22" ht="14.45" customHeight="1">
      <c r="A280" s="20"/>
      <c r="B280" s="59" t="s">
        <v>1020</v>
      </c>
      <c r="C280" s="20"/>
      <c r="D280" s="20"/>
      <c r="E280" s="20"/>
      <c r="F280" s="103">
        <f>INT(F277+F275+F273+F271)</f>
        <v>10637</v>
      </c>
      <c r="G280" s="20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2"/>
      <c r="V280" s="11"/>
    </row>
    <row r="281" spans="1:22" ht="14.45" customHeight="1">
      <c r="A281" s="11"/>
      <c r="B281" s="11"/>
      <c r="C281" s="11"/>
      <c r="D281" s="11"/>
      <c r="E281" s="11"/>
      <c r="F281" s="96"/>
      <c r="G281" s="11"/>
      <c r="U281" s="15"/>
      <c r="V281" s="11"/>
    </row>
    <row r="282" spans="1:22" ht="14.45" customHeight="1">
      <c r="A282" s="55" t="s">
        <v>1170</v>
      </c>
      <c r="B282" s="55" t="s">
        <v>1147</v>
      </c>
      <c r="C282" s="11"/>
      <c r="D282" s="11"/>
      <c r="E282" s="11"/>
      <c r="F282" s="105">
        <f>INT(H282*M282*O282)</f>
        <v>12566</v>
      </c>
      <c r="G282" s="11"/>
      <c r="H282" s="1126">
        <v>69466000</v>
      </c>
      <c r="I282" s="1126"/>
      <c r="J282" s="1126"/>
      <c r="K282" s="1126"/>
      <c r="L282" s="28" t="s">
        <v>921</v>
      </c>
      <c r="M282" s="106">
        <v>1809</v>
      </c>
      <c r="N282" s="10" t="s">
        <v>921</v>
      </c>
      <c r="O282" s="1017">
        <v>9.9999999999999995E-8</v>
      </c>
      <c r="P282" s="1017"/>
      <c r="Q282" s="1017"/>
      <c r="R282" s="1017"/>
      <c r="U282" s="15"/>
      <c r="V282" s="11"/>
    </row>
    <row r="283" spans="1:22" ht="14.45" customHeight="1">
      <c r="A283" s="11"/>
      <c r="B283" s="11"/>
      <c r="C283" s="11"/>
      <c r="D283" s="11"/>
      <c r="E283" s="11"/>
      <c r="F283" s="96"/>
      <c r="G283" s="11"/>
      <c r="U283" s="15"/>
      <c r="V283" s="11"/>
    </row>
    <row r="284" spans="1:22" ht="14.45" customHeight="1">
      <c r="A284" s="11"/>
      <c r="B284" s="11"/>
      <c r="C284" s="11"/>
      <c r="D284" s="11"/>
      <c r="E284" s="11"/>
      <c r="F284" s="96"/>
      <c r="G284" s="11"/>
      <c r="U284" s="15"/>
      <c r="V284" s="11"/>
    </row>
    <row r="285" spans="1:22" ht="14.45" customHeight="1">
      <c r="A285" s="11"/>
      <c r="B285" s="11"/>
      <c r="C285" s="11"/>
      <c r="D285" s="11"/>
      <c r="E285" s="11"/>
      <c r="F285" s="96"/>
      <c r="G285" s="11"/>
      <c r="U285" s="15"/>
      <c r="V285" s="11"/>
    </row>
    <row r="286" spans="1:22" ht="14.45" customHeight="1">
      <c r="A286" s="11"/>
      <c r="B286" s="11"/>
      <c r="C286" s="11"/>
      <c r="D286" s="11"/>
      <c r="E286" s="11"/>
      <c r="F286" s="96"/>
      <c r="G286" s="11"/>
      <c r="U286" s="15"/>
      <c r="V286" s="11"/>
    </row>
    <row r="287" spans="1:22" ht="14.45" customHeight="1">
      <c r="A287" s="11"/>
      <c r="B287" s="11"/>
      <c r="C287" s="11"/>
      <c r="D287" s="11"/>
      <c r="E287" s="11"/>
      <c r="F287" s="96"/>
      <c r="G287" s="11"/>
      <c r="U287" s="15"/>
      <c r="V287" s="11"/>
    </row>
    <row r="288" spans="1:22" ht="14.45" customHeight="1">
      <c r="A288" s="20"/>
      <c r="B288" s="20"/>
      <c r="C288" s="20"/>
      <c r="D288" s="20"/>
      <c r="E288" s="20"/>
      <c r="F288" s="102"/>
      <c r="G288" s="20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2"/>
      <c r="V288" s="11"/>
    </row>
    <row r="289" spans="1:22" ht="14.45" customHeight="1">
      <c r="A289" s="11"/>
      <c r="B289" s="11"/>
      <c r="C289" s="11"/>
      <c r="D289" s="11"/>
      <c r="E289" s="11"/>
      <c r="F289" s="96"/>
      <c r="G289" s="11"/>
      <c r="U289" s="15"/>
      <c r="V289" s="11"/>
    </row>
    <row r="290" spans="1:22" ht="14.45" customHeight="1">
      <c r="A290" s="59" t="s">
        <v>1156</v>
      </c>
      <c r="B290" s="20"/>
      <c r="C290" s="20"/>
      <c r="D290" s="20"/>
      <c r="E290" s="20"/>
      <c r="F290" s="103">
        <f>F280+F282+F269</f>
        <v>80280</v>
      </c>
      <c r="G290" s="20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2"/>
      <c r="V290" s="11"/>
    </row>
    <row r="291" spans="1:22" ht="14.45" customHeight="1">
      <c r="A291" s="90" t="s">
        <v>962</v>
      </c>
      <c r="B291" s="6"/>
      <c r="C291" s="6"/>
      <c r="D291" s="6"/>
      <c r="F291" s="80"/>
    </row>
    <row r="292" spans="1:22" ht="14.45" customHeight="1">
      <c r="A292" s="21"/>
      <c r="B292" s="21"/>
      <c r="C292" s="21"/>
      <c r="D292" s="21"/>
      <c r="E292" s="21"/>
      <c r="F292" s="107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</row>
    <row r="293" spans="1:22" ht="25.5" customHeight="1">
      <c r="A293" s="2" t="s">
        <v>1009</v>
      </c>
      <c r="B293" s="2" t="s">
        <v>1010</v>
      </c>
      <c r="C293" s="2" t="s">
        <v>1217</v>
      </c>
      <c r="D293" s="2" t="s">
        <v>1011</v>
      </c>
      <c r="E293" s="2" t="s">
        <v>207</v>
      </c>
      <c r="F293" s="2" t="s">
        <v>54</v>
      </c>
      <c r="G293" s="1119" t="s">
        <v>1766</v>
      </c>
      <c r="H293" s="1120"/>
      <c r="I293" s="1120"/>
      <c r="J293" s="1120"/>
      <c r="K293" s="1120"/>
      <c r="L293" s="1120"/>
      <c r="M293" s="1120"/>
      <c r="N293" s="1120"/>
      <c r="O293" s="1120"/>
      <c r="P293" s="1120"/>
      <c r="Q293" s="1120"/>
      <c r="R293" s="1120"/>
      <c r="S293" s="1120"/>
      <c r="T293" s="1120"/>
      <c r="U293" s="1121"/>
      <c r="V293" s="11"/>
    </row>
    <row r="294" spans="1:22" ht="14.45" customHeight="1">
      <c r="A294" s="11"/>
      <c r="B294" s="11"/>
      <c r="C294" s="11"/>
      <c r="D294" s="11"/>
      <c r="E294" s="11"/>
      <c r="F294" s="96"/>
      <c r="G294" s="11"/>
      <c r="U294" s="15"/>
      <c r="V294" s="11"/>
    </row>
    <row r="295" spans="1:22" ht="14.45" customHeight="1">
      <c r="A295" s="55" t="s">
        <v>1168</v>
      </c>
      <c r="B295" s="55" t="s">
        <v>1261</v>
      </c>
      <c r="C295" s="11">
        <v>1</v>
      </c>
      <c r="D295" s="55" t="s">
        <v>1328</v>
      </c>
      <c r="E295" s="111">
        <f>U295</f>
        <v>57077</v>
      </c>
      <c r="F295" s="97">
        <f>U295</f>
        <v>57077</v>
      </c>
      <c r="G295" s="98">
        <f>노임!$F$3</f>
        <v>273971</v>
      </c>
      <c r="H295" s="28" t="s">
        <v>683</v>
      </c>
      <c r="I295" s="28">
        <v>1</v>
      </c>
      <c r="J295" s="28" t="s">
        <v>682</v>
      </c>
      <c r="K295" s="28">
        <v>8</v>
      </c>
      <c r="L295" s="28" t="s">
        <v>683</v>
      </c>
      <c r="M295" s="28">
        <v>25</v>
      </c>
      <c r="N295" s="28" t="s">
        <v>682</v>
      </c>
      <c r="O295" s="28">
        <v>20</v>
      </c>
      <c r="P295" s="28" t="s">
        <v>683</v>
      </c>
      <c r="Q295" s="28">
        <v>16</v>
      </c>
      <c r="R295" s="28" t="s">
        <v>682</v>
      </c>
      <c r="S295" s="28">
        <v>12</v>
      </c>
      <c r="T295" s="28" t="s">
        <v>1167</v>
      </c>
      <c r="U295" s="99">
        <f>INT(G295*I295/K295*M295/O295*Q295/S295)</f>
        <v>57077</v>
      </c>
      <c r="V295" s="11"/>
    </row>
    <row r="296" spans="1:22" ht="14.45" customHeight="1">
      <c r="A296" s="11"/>
      <c r="B296" s="11"/>
      <c r="C296" s="11"/>
      <c r="D296" s="11"/>
      <c r="E296" s="11"/>
      <c r="F296" s="96"/>
      <c r="G296" s="96"/>
      <c r="H296" s="28"/>
      <c r="I296" s="28"/>
      <c r="J296" s="28"/>
      <c r="K296" s="28"/>
      <c r="L296" s="28"/>
      <c r="M296" s="28"/>
      <c r="N296" s="28"/>
      <c r="O296" s="388"/>
      <c r="P296" s="28"/>
      <c r="Q296" s="28"/>
      <c r="R296" s="28"/>
      <c r="S296" s="28"/>
      <c r="T296" s="28"/>
      <c r="U296" s="100"/>
      <c r="V296" s="11"/>
    </row>
    <row r="297" spans="1:22" ht="14.45" customHeight="1">
      <c r="A297" s="11"/>
      <c r="B297" s="55" t="s">
        <v>1262</v>
      </c>
      <c r="C297" s="11"/>
      <c r="D297" s="55" t="s">
        <v>1023</v>
      </c>
      <c r="E297" s="101"/>
      <c r="F297" s="97">
        <f>TRUNC((C297*E297),1)</f>
        <v>0</v>
      </c>
      <c r="G297" s="101"/>
      <c r="H297" s="28" t="s">
        <v>683</v>
      </c>
      <c r="I297" s="28">
        <v>1</v>
      </c>
      <c r="J297" s="28" t="s">
        <v>682</v>
      </c>
      <c r="K297" s="28">
        <v>8</v>
      </c>
      <c r="L297" s="28" t="s">
        <v>683</v>
      </c>
      <c r="M297" s="28">
        <v>25</v>
      </c>
      <c r="N297" s="28" t="s">
        <v>682</v>
      </c>
      <c r="O297" s="28">
        <v>20</v>
      </c>
      <c r="P297" s="28" t="s">
        <v>683</v>
      </c>
      <c r="Q297" s="28">
        <v>16</v>
      </c>
      <c r="R297" s="28" t="s">
        <v>682</v>
      </c>
      <c r="S297" s="28">
        <v>12</v>
      </c>
      <c r="T297" s="28" t="s">
        <v>1167</v>
      </c>
      <c r="U297" s="99">
        <f>INT(G297*I297/K297*M297/O297*Q297/S297)</f>
        <v>0</v>
      </c>
      <c r="V297" s="11"/>
    </row>
    <row r="298" spans="1:22" ht="14.45" customHeight="1">
      <c r="A298" s="11"/>
      <c r="B298" s="11"/>
      <c r="C298" s="11"/>
      <c r="D298" s="11"/>
      <c r="E298" s="96"/>
      <c r="F298" s="96"/>
      <c r="G298" s="96"/>
      <c r="H298" s="28"/>
      <c r="I298" s="28"/>
      <c r="J298" s="28"/>
      <c r="K298" s="28"/>
      <c r="L298" s="28"/>
      <c r="M298" s="28"/>
      <c r="N298" s="28"/>
      <c r="O298" s="388"/>
      <c r="P298" s="28"/>
      <c r="Q298" s="28"/>
      <c r="R298" s="28"/>
      <c r="S298" s="28"/>
      <c r="T298" s="28"/>
      <c r="U298" s="100"/>
      <c r="V298" s="11"/>
    </row>
    <row r="299" spans="1:22" ht="14.45" customHeight="1">
      <c r="A299" s="11"/>
      <c r="B299" s="55" t="s">
        <v>1263</v>
      </c>
      <c r="C299" s="11"/>
      <c r="D299" s="55" t="s">
        <v>1023</v>
      </c>
      <c r="E299" s="101"/>
      <c r="F299" s="97">
        <f>TRUNC((C299*E299),1)</f>
        <v>0</v>
      </c>
      <c r="G299" s="101"/>
      <c r="H299" s="28" t="s">
        <v>683</v>
      </c>
      <c r="I299" s="28">
        <v>1</v>
      </c>
      <c r="J299" s="28" t="s">
        <v>682</v>
      </c>
      <c r="K299" s="28">
        <v>8</v>
      </c>
      <c r="L299" s="28" t="s">
        <v>683</v>
      </c>
      <c r="M299" s="28">
        <v>25</v>
      </c>
      <c r="N299" s="28" t="s">
        <v>682</v>
      </c>
      <c r="O299" s="28">
        <v>20</v>
      </c>
      <c r="P299" s="28" t="s">
        <v>683</v>
      </c>
      <c r="Q299" s="28">
        <v>16</v>
      </c>
      <c r="R299" s="28" t="s">
        <v>682</v>
      </c>
      <c r="S299" s="28">
        <v>12</v>
      </c>
      <c r="T299" s="28" t="s">
        <v>1167</v>
      </c>
      <c r="U299" s="99">
        <f>INT(G299*I299/K299*M299/O299*Q299/S299)</f>
        <v>0</v>
      </c>
      <c r="V299" s="11"/>
    </row>
    <row r="300" spans="1:22" ht="14.45" customHeight="1">
      <c r="A300" s="11"/>
      <c r="B300" s="11"/>
      <c r="C300" s="11"/>
      <c r="D300" s="11"/>
      <c r="E300" s="11"/>
      <c r="F300" s="96"/>
      <c r="G300" s="11"/>
      <c r="U300" s="15"/>
      <c r="V300" s="11"/>
    </row>
    <row r="301" spans="1:22" ht="14.45" customHeight="1">
      <c r="A301" s="20"/>
      <c r="B301" s="59" t="s">
        <v>1020</v>
      </c>
      <c r="C301" s="20"/>
      <c r="D301" s="20"/>
      <c r="E301" s="20"/>
      <c r="F301" s="103">
        <f>INT(F299+F297+F295)</f>
        <v>57077</v>
      </c>
      <c r="G301" s="20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2"/>
      <c r="V301" s="11"/>
    </row>
    <row r="302" spans="1:22" ht="14.45" customHeight="1">
      <c r="A302" s="11"/>
      <c r="B302" s="11"/>
      <c r="C302" s="11"/>
      <c r="D302" s="11"/>
      <c r="E302" s="11"/>
      <c r="F302" s="96"/>
      <c r="G302" s="11"/>
      <c r="U302" s="15"/>
      <c r="V302" s="11"/>
    </row>
    <row r="303" spans="1:22" ht="14.45" customHeight="1">
      <c r="A303" s="55" t="s">
        <v>1169</v>
      </c>
      <c r="B303" s="55" t="s">
        <v>1146</v>
      </c>
      <c r="C303" s="11">
        <v>8.6</v>
      </c>
      <c r="D303" s="55" t="s">
        <v>636</v>
      </c>
      <c r="E303" s="101">
        <f>자재!$F$19</f>
        <v>1528.38</v>
      </c>
      <c r="F303" s="97">
        <f>ROUNDDOWN(E303*C303,1)</f>
        <v>13144</v>
      </c>
      <c r="G303" s="11"/>
      <c r="U303" s="15"/>
      <c r="V303" s="11"/>
    </row>
    <row r="304" spans="1:22" ht="14.45" customHeight="1">
      <c r="A304" s="11"/>
      <c r="B304" s="11"/>
      <c r="C304" s="11"/>
      <c r="D304" s="11"/>
      <c r="E304" s="11"/>
      <c r="F304" s="11"/>
      <c r="G304" s="11"/>
      <c r="U304" s="15"/>
      <c r="V304" s="11"/>
    </row>
    <row r="305" spans="1:22" ht="14.45" customHeight="1">
      <c r="A305" s="11"/>
      <c r="B305" s="55" t="s">
        <v>1153</v>
      </c>
      <c r="C305" s="11">
        <v>0.2</v>
      </c>
      <c r="D305" s="11"/>
      <c r="E305" s="101">
        <f>F303</f>
        <v>13144</v>
      </c>
      <c r="F305" s="97">
        <f>ROUNDDOWN(E305*C305,1)</f>
        <v>2628.8</v>
      </c>
      <c r="G305" s="11"/>
      <c r="U305" s="15"/>
      <c r="V305" s="11"/>
    </row>
    <row r="306" spans="1:22" ht="14.45" customHeight="1">
      <c r="A306" s="11"/>
      <c r="B306" s="11"/>
      <c r="C306" s="11"/>
      <c r="D306" s="11"/>
      <c r="E306" s="11"/>
      <c r="F306" s="96"/>
      <c r="G306" s="11"/>
      <c r="U306" s="15"/>
      <c r="V306" s="11"/>
    </row>
    <row r="307" spans="1:22" ht="14.45" customHeight="1">
      <c r="A307" s="11"/>
      <c r="B307" s="11"/>
      <c r="C307" s="11"/>
      <c r="D307" s="11"/>
      <c r="E307" s="11"/>
      <c r="F307" s="96"/>
      <c r="G307" s="11"/>
      <c r="U307" s="15"/>
      <c r="V307" s="11"/>
    </row>
    <row r="308" spans="1:22" ht="14.45" customHeight="1">
      <c r="A308" s="11"/>
      <c r="B308" s="11"/>
      <c r="C308" s="11"/>
      <c r="D308" s="11"/>
      <c r="E308" s="11"/>
      <c r="F308" s="96"/>
      <c r="G308" s="11"/>
      <c r="U308" s="15"/>
      <c r="V308" s="11"/>
    </row>
    <row r="309" spans="1:22" ht="14.45" customHeight="1">
      <c r="A309" s="11"/>
      <c r="B309" s="11"/>
      <c r="C309" s="11"/>
      <c r="D309" s="11"/>
      <c r="E309" s="11"/>
      <c r="F309" s="96"/>
      <c r="G309" s="11"/>
      <c r="U309" s="15"/>
      <c r="V309" s="11"/>
    </row>
    <row r="310" spans="1:22" ht="14.45" customHeight="1">
      <c r="A310" s="11"/>
      <c r="B310" s="11"/>
      <c r="C310" s="11"/>
      <c r="D310" s="11"/>
      <c r="E310" s="11"/>
      <c r="F310" s="96"/>
      <c r="G310" s="11"/>
      <c r="U310" s="15"/>
      <c r="V310" s="11"/>
    </row>
    <row r="311" spans="1:22" ht="14.45" customHeight="1">
      <c r="A311" s="20"/>
      <c r="B311" s="59" t="s">
        <v>1020</v>
      </c>
      <c r="C311" s="20"/>
      <c r="D311" s="20"/>
      <c r="E311" s="20"/>
      <c r="F311" s="103">
        <f>INT(F305+F303)</f>
        <v>15772</v>
      </c>
      <c r="G311" s="20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2"/>
      <c r="V311" s="11"/>
    </row>
    <row r="312" spans="1:22" ht="14.45" customHeight="1">
      <c r="A312" s="11"/>
      <c r="B312" s="11"/>
      <c r="C312" s="11"/>
      <c r="D312" s="11"/>
      <c r="E312" s="11"/>
      <c r="F312" s="96"/>
      <c r="G312" s="11"/>
      <c r="U312" s="15"/>
      <c r="V312" s="11"/>
    </row>
    <row r="313" spans="1:22" ht="14.45" customHeight="1">
      <c r="A313" s="55" t="s">
        <v>1170</v>
      </c>
      <c r="B313" s="55" t="s">
        <v>1147</v>
      </c>
      <c r="C313" s="11"/>
      <c r="D313" s="11"/>
      <c r="E313" s="11"/>
      <c r="F313" s="105">
        <f>INT(H313*M313*O313)</f>
        <v>23829</v>
      </c>
      <c r="G313" s="11"/>
      <c r="H313" s="1126">
        <v>146102000</v>
      </c>
      <c r="I313" s="1126"/>
      <c r="J313" s="1126"/>
      <c r="K313" s="1126"/>
      <c r="L313" s="28" t="s">
        <v>921</v>
      </c>
      <c r="M313" s="106">
        <v>1631</v>
      </c>
      <c r="N313" s="10" t="s">
        <v>921</v>
      </c>
      <c r="O313" s="1017">
        <v>9.9999999999999995E-8</v>
      </c>
      <c r="P313" s="1017"/>
      <c r="Q313" s="1017"/>
      <c r="R313" s="1017"/>
      <c r="U313" s="15"/>
      <c r="V313" s="11"/>
    </row>
    <row r="314" spans="1:22" ht="14.45" customHeight="1">
      <c r="A314" s="11"/>
      <c r="B314" s="11"/>
      <c r="C314" s="11"/>
      <c r="D314" s="11"/>
      <c r="E314" s="11"/>
      <c r="F314" s="96"/>
      <c r="G314" s="11"/>
      <c r="U314" s="15"/>
      <c r="V314" s="11"/>
    </row>
    <row r="315" spans="1:22" ht="14.45" customHeight="1">
      <c r="A315" s="11"/>
      <c r="B315" s="11"/>
      <c r="C315" s="11"/>
      <c r="D315" s="11"/>
      <c r="E315" s="11"/>
      <c r="F315" s="96"/>
      <c r="G315" s="11"/>
      <c r="U315" s="15"/>
      <c r="V315" s="11"/>
    </row>
    <row r="316" spans="1:22" ht="14.45" customHeight="1">
      <c r="A316" s="11"/>
      <c r="B316" s="11"/>
      <c r="C316" s="11"/>
      <c r="D316" s="11"/>
      <c r="E316" s="11"/>
      <c r="F316" s="96"/>
      <c r="G316" s="11"/>
      <c r="U316" s="15"/>
      <c r="V316" s="11"/>
    </row>
    <row r="317" spans="1:22" ht="14.45" customHeight="1">
      <c r="A317" s="11"/>
      <c r="B317" s="11"/>
      <c r="C317" s="11"/>
      <c r="D317" s="11"/>
      <c r="E317" s="11"/>
      <c r="F317" s="96"/>
      <c r="G317" s="11"/>
      <c r="U317" s="15"/>
      <c r="V317" s="11"/>
    </row>
    <row r="318" spans="1:22" ht="14.45" customHeight="1">
      <c r="A318" s="11"/>
      <c r="B318" s="11"/>
      <c r="C318" s="11"/>
      <c r="D318" s="11"/>
      <c r="E318" s="11"/>
      <c r="F318" s="96"/>
      <c r="G318" s="11"/>
      <c r="U318" s="15"/>
      <c r="V318" s="11"/>
    </row>
    <row r="319" spans="1:22" ht="14.45" customHeight="1">
      <c r="A319" s="11"/>
      <c r="B319" s="11"/>
      <c r="C319" s="11"/>
      <c r="D319" s="11"/>
      <c r="E319" s="11"/>
      <c r="F319" s="96"/>
      <c r="G319" s="11"/>
      <c r="U319" s="15"/>
      <c r="V319" s="11"/>
    </row>
    <row r="320" spans="1:22" ht="14.45" customHeight="1">
      <c r="A320" s="20"/>
      <c r="B320" s="20"/>
      <c r="C320" s="20"/>
      <c r="D320" s="20"/>
      <c r="E320" s="20"/>
      <c r="F320" s="102"/>
      <c r="G320" s="20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2"/>
      <c r="V320" s="11"/>
    </row>
    <row r="321" spans="1:22" ht="14.45" customHeight="1">
      <c r="A321" s="11"/>
      <c r="B321" s="11"/>
      <c r="C321" s="11"/>
      <c r="D321" s="11"/>
      <c r="E321" s="11"/>
      <c r="F321" s="96"/>
      <c r="G321" s="11"/>
      <c r="U321" s="15"/>
      <c r="V321" s="11"/>
    </row>
    <row r="322" spans="1:22" ht="14.45" customHeight="1">
      <c r="A322" s="59" t="s">
        <v>1156</v>
      </c>
      <c r="B322" s="20"/>
      <c r="C322" s="20"/>
      <c r="D322" s="20"/>
      <c r="E322" s="20"/>
      <c r="F322" s="103">
        <f>F301+F311+F313</f>
        <v>96678</v>
      </c>
      <c r="G322" s="20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2"/>
      <c r="V322" s="11"/>
    </row>
    <row r="323" spans="1:22" ht="14.45" customHeight="1">
      <c r="A323" s="90" t="s">
        <v>1742</v>
      </c>
      <c r="B323" s="6"/>
      <c r="C323" s="6"/>
      <c r="D323" s="6"/>
      <c r="F323" s="80"/>
    </row>
    <row r="324" spans="1:22" ht="14.45" customHeight="1">
      <c r="A324" s="21"/>
      <c r="B324" s="21"/>
      <c r="C324" s="21"/>
      <c r="D324" s="21"/>
      <c r="E324" s="21"/>
      <c r="F324" s="107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</row>
    <row r="325" spans="1:22" ht="25.5" customHeight="1">
      <c r="A325" s="2" t="s">
        <v>1009</v>
      </c>
      <c r="B325" s="2" t="s">
        <v>1010</v>
      </c>
      <c r="C325" s="2" t="s">
        <v>1217</v>
      </c>
      <c r="D325" s="2" t="s">
        <v>1011</v>
      </c>
      <c r="E325" s="2" t="s">
        <v>207</v>
      </c>
      <c r="F325" s="2" t="s">
        <v>54</v>
      </c>
      <c r="G325" s="1119" t="s">
        <v>1766</v>
      </c>
      <c r="H325" s="1120"/>
      <c r="I325" s="1120"/>
      <c r="J325" s="1120"/>
      <c r="K325" s="1120"/>
      <c r="L325" s="1120"/>
      <c r="M325" s="1120"/>
      <c r="N325" s="1120"/>
      <c r="O325" s="1120"/>
      <c r="P325" s="1120"/>
      <c r="Q325" s="1120"/>
      <c r="R325" s="1120"/>
      <c r="S325" s="1120"/>
      <c r="T325" s="1120"/>
      <c r="U325" s="1121"/>
      <c r="V325" s="11"/>
    </row>
    <row r="326" spans="1:22" ht="14.45" customHeight="1">
      <c r="A326" s="11"/>
      <c r="B326" s="11"/>
      <c r="C326" s="11"/>
      <c r="D326" s="11"/>
      <c r="E326" s="11"/>
      <c r="F326" s="96"/>
      <c r="G326" s="11"/>
      <c r="U326" s="15"/>
      <c r="V326" s="11"/>
    </row>
    <row r="327" spans="1:22" ht="14.45" customHeight="1">
      <c r="A327" s="55" t="s">
        <v>1168</v>
      </c>
      <c r="B327" s="55" t="s">
        <v>1261</v>
      </c>
      <c r="C327" s="11">
        <v>1</v>
      </c>
      <c r="D327" s="55" t="s">
        <v>1328</v>
      </c>
      <c r="E327" s="111">
        <f>U327</f>
        <v>49479</v>
      </c>
      <c r="F327" s="97">
        <f>U327</f>
        <v>49479</v>
      </c>
      <c r="G327" s="98">
        <f>노임!F5</f>
        <v>237500</v>
      </c>
      <c r="H327" s="28" t="s">
        <v>683</v>
      </c>
      <c r="I327" s="28">
        <v>1</v>
      </c>
      <c r="J327" s="28" t="s">
        <v>682</v>
      </c>
      <c r="K327" s="28">
        <v>8</v>
      </c>
      <c r="L327" s="28" t="s">
        <v>683</v>
      </c>
      <c r="M327" s="28">
        <v>25</v>
      </c>
      <c r="N327" s="28" t="s">
        <v>682</v>
      </c>
      <c r="O327" s="28">
        <v>20</v>
      </c>
      <c r="P327" s="28" t="s">
        <v>683</v>
      </c>
      <c r="Q327" s="28">
        <v>16</v>
      </c>
      <c r="R327" s="28" t="s">
        <v>682</v>
      </c>
      <c r="S327" s="28">
        <v>12</v>
      </c>
      <c r="T327" s="28" t="s">
        <v>1167</v>
      </c>
      <c r="U327" s="99">
        <f>INT(G327*I327/K327*M327/O327*Q327/S327)</f>
        <v>49479</v>
      </c>
      <c r="V327" s="11"/>
    </row>
    <row r="328" spans="1:22" ht="14.45" customHeight="1">
      <c r="A328" s="11"/>
      <c r="B328" s="11"/>
      <c r="C328" s="11"/>
      <c r="D328" s="11"/>
      <c r="E328" s="11"/>
      <c r="F328" s="96"/>
      <c r="G328" s="96"/>
      <c r="H328" s="28"/>
      <c r="I328" s="28"/>
      <c r="J328" s="28"/>
      <c r="K328" s="28"/>
      <c r="L328" s="28"/>
      <c r="M328" s="28"/>
      <c r="N328" s="28"/>
      <c r="O328" s="388"/>
      <c r="P328" s="28"/>
      <c r="Q328" s="28"/>
      <c r="R328" s="28"/>
      <c r="S328" s="28"/>
      <c r="T328" s="28"/>
      <c r="U328" s="100"/>
      <c r="V328" s="11"/>
    </row>
    <row r="329" spans="1:22" ht="14.45" customHeight="1">
      <c r="A329" s="11"/>
      <c r="B329" s="55" t="s">
        <v>1262</v>
      </c>
      <c r="C329" s="11"/>
      <c r="D329" s="55" t="s">
        <v>1023</v>
      </c>
      <c r="E329" s="101"/>
      <c r="F329" s="97">
        <f>TRUNC((C329*E329),1)</f>
        <v>0</v>
      </c>
      <c r="G329" s="101"/>
      <c r="H329" s="28" t="s">
        <v>683</v>
      </c>
      <c r="I329" s="28">
        <v>1</v>
      </c>
      <c r="J329" s="28" t="s">
        <v>682</v>
      </c>
      <c r="K329" s="28">
        <v>8</v>
      </c>
      <c r="L329" s="28" t="s">
        <v>683</v>
      </c>
      <c r="M329" s="28">
        <v>25</v>
      </c>
      <c r="N329" s="28" t="s">
        <v>682</v>
      </c>
      <c r="O329" s="28">
        <v>20</v>
      </c>
      <c r="P329" s="28" t="s">
        <v>683</v>
      </c>
      <c r="Q329" s="28">
        <v>16</v>
      </c>
      <c r="R329" s="28" t="s">
        <v>682</v>
      </c>
      <c r="S329" s="28">
        <v>12</v>
      </c>
      <c r="T329" s="28" t="s">
        <v>1167</v>
      </c>
      <c r="U329" s="99">
        <f>INT(G329*I329/K329*M329/O329*Q329/S329)</f>
        <v>0</v>
      </c>
      <c r="V329" s="11"/>
    </row>
    <row r="330" spans="1:22" ht="14.45" customHeight="1">
      <c r="A330" s="11"/>
      <c r="B330" s="11"/>
      <c r="C330" s="11"/>
      <c r="D330" s="11"/>
      <c r="E330" s="96"/>
      <c r="F330" s="96"/>
      <c r="G330" s="96"/>
      <c r="H330" s="28"/>
      <c r="I330" s="28"/>
      <c r="J330" s="28"/>
      <c r="K330" s="28"/>
      <c r="L330" s="28"/>
      <c r="M330" s="28"/>
      <c r="N330" s="28"/>
      <c r="O330" s="388"/>
      <c r="P330" s="28"/>
      <c r="Q330" s="28"/>
      <c r="R330" s="28"/>
      <c r="S330" s="28"/>
      <c r="T330" s="28"/>
      <c r="U330" s="100"/>
      <c r="V330" s="11"/>
    </row>
    <row r="331" spans="1:22" ht="14.45" customHeight="1">
      <c r="A331" s="11"/>
      <c r="B331" s="55" t="s">
        <v>1263</v>
      </c>
      <c r="C331" s="11"/>
      <c r="D331" s="55" t="s">
        <v>1023</v>
      </c>
      <c r="E331" s="101"/>
      <c r="F331" s="97">
        <f>TRUNC((C331*E331),1)</f>
        <v>0</v>
      </c>
      <c r="G331" s="101"/>
      <c r="H331" s="28" t="s">
        <v>683</v>
      </c>
      <c r="I331" s="28">
        <v>1</v>
      </c>
      <c r="J331" s="28" t="s">
        <v>682</v>
      </c>
      <c r="K331" s="28">
        <v>8</v>
      </c>
      <c r="L331" s="28" t="s">
        <v>683</v>
      </c>
      <c r="M331" s="28">
        <v>25</v>
      </c>
      <c r="N331" s="28" t="s">
        <v>682</v>
      </c>
      <c r="O331" s="28">
        <v>20</v>
      </c>
      <c r="P331" s="28" t="s">
        <v>683</v>
      </c>
      <c r="Q331" s="28">
        <v>16</v>
      </c>
      <c r="R331" s="28" t="s">
        <v>682</v>
      </c>
      <c r="S331" s="28">
        <v>12</v>
      </c>
      <c r="T331" s="28" t="s">
        <v>1167</v>
      </c>
      <c r="U331" s="99">
        <f>INT(G331*I331/K331*M331/O331*Q331/S331)</f>
        <v>0</v>
      </c>
      <c r="V331" s="11"/>
    </row>
    <row r="332" spans="1:22" ht="14.45" customHeight="1">
      <c r="A332" s="11"/>
      <c r="B332" s="11"/>
      <c r="C332" s="11"/>
      <c r="D332" s="11"/>
      <c r="E332" s="11"/>
      <c r="F332" s="96"/>
      <c r="G332" s="11"/>
      <c r="U332" s="15"/>
      <c r="V332" s="11"/>
    </row>
    <row r="333" spans="1:22" ht="14.45" customHeight="1">
      <c r="A333" s="20"/>
      <c r="B333" s="59" t="s">
        <v>1020</v>
      </c>
      <c r="C333" s="20"/>
      <c r="D333" s="20"/>
      <c r="E333" s="20"/>
      <c r="F333" s="103">
        <f>INT(F331+F329+F327)</f>
        <v>49479</v>
      </c>
      <c r="G333" s="20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2"/>
      <c r="V333" s="11"/>
    </row>
    <row r="334" spans="1:22" ht="14.45" customHeight="1">
      <c r="A334" s="11"/>
      <c r="B334" s="11"/>
      <c r="C334" s="11"/>
      <c r="D334" s="11"/>
      <c r="E334" s="11"/>
      <c r="F334" s="96"/>
      <c r="G334" s="11"/>
      <c r="U334" s="15"/>
      <c r="V334" s="11"/>
    </row>
    <row r="335" spans="1:22" ht="14.45" customHeight="1">
      <c r="A335" s="55" t="s">
        <v>1169</v>
      </c>
      <c r="B335" s="55" t="s">
        <v>1146</v>
      </c>
      <c r="C335" s="11">
        <v>10.3</v>
      </c>
      <c r="D335" s="55" t="s">
        <v>636</v>
      </c>
      <c r="E335" s="101">
        <f>자재!$F$19</f>
        <v>1528.38</v>
      </c>
      <c r="F335" s="97">
        <f>ROUNDDOWN(E335*C335,1)</f>
        <v>15742.3</v>
      </c>
      <c r="G335" s="11"/>
      <c r="U335" s="15"/>
      <c r="V335" s="11"/>
    </row>
    <row r="336" spans="1:22" ht="14.45" customHeight="1">
      <c r="A336" s="11"/>
      <c r="B336" s="11"/>
      <c r="C336" s="11"/>
      <c r="D336" s="11"/>
      <c r="E336" s="11"/>
      <c r="F336" s="11"/>
      <c r="G336" s="11"/>
      <c r="U336" s="15"/>
      <c r="V336" s="11"/>
    </row>
    <row r="337" spans="1:22" ht="14.45" customHeight="1">
      <c r="A337" s="11"/>
      <c r="B337" s="55" t="s">
        <v>1153</v>
      </c>
      <c r="C337" s="11">
        <v>0.2</v>
      </c>
      <c r="D337" s="11"/>
      <c r="E337" s="101">
        <f>F335</f>
        <v>15742.3</v>
      </c>
      <c r="F337" s="97">
        <f>ROUNDDOWN(E337*C337,1)</f>
        <v>3148.4</v>
      </c>
      <c r="G337" s="11"/>
      <c r="U337" s="15"/>
      <c r="V337" s="11"/>
    </row>
    <row r="338" spans="1:22" ht="14.45" customHeight="1">
      <c r="A338" s="11"/>
      <c r="B338" s="11"/>
      <c r="C338" s="11"/>
      <c r="D338" s="11"/>
      <c r="E338" s="11"/>
      <c r="F338" s="96"/>
      <c r="G338" s="11"/>
      <c r="U338" s="15"/>
      <c r="V338" s="11"/>
    </row>
    <row r="339" spans="1:22" ht="14.45" customHeight="1">
      <c r="A339" s="11"/>
      <c r="B339" s="11"/>
      <c r="C339" s="11"/>
      <c r="D339" s="11"/>
      <c r="E339" s="11"/>
      <c r="F339" s="96"/>
      <c r="G339" s="11"/>
      <c r="U339" s="15"/>
      <c r="V339" s="11"/>
    </row>
    <row r="340" spans="1:22" ht="14.45" customHeight="1">
      <c r="A340" s="11"/>
      <c r="B340" s="11"/>
      <c r="C340" s="11"/>
      <c r="D340" s="11"/>
      <c r="E340" s="11"/>
      <c r="F340" s="96"/>
      <c r="G340" s="11"/>
      <c r="U340" s="15"/>
      <c r="V340" s="11"/>
    </row>
    <row r="341" spans="1:22" ht="14.45" customHeight="1">
      <c r="A341" s="11"/>
      <c r="B341" s="11"/>
      <c r="C341" s="11"/>
      <c r="D341" s="11"/>
      <c r="E341" s="11"/>
      <c r="F341" s="96"/>
      <c r="G341" s="11"/>
      <c r="U341" s="15"/>
      <c r="V341" s="11"/>
    </row>
    <row r="342" spans="1:22" ht="14.45" customHeight="1">
      <c r="A342" s="11"/>
      <c r="B342" s="11"/>
      <c r="C342" s="11"/>
      <c r="D342" s="11"/>
      <c r="E342" s="11"/>
      <c r="F342" s="96"/>
      <c r="G342" s="11"/>
      <c r="U342" s="15"/>
      <c r="V342" s="11"/>
    </row>
    <row r="343" spans="1:22" ht="14.45" customHeight="1">
      <c r="A343" s="20"/>
      <c r="B343" s="59" t="s">
        <v>1020</v>
      </c>
      <c r="C343" s="20"/>
      <c r="D343" s="20"/>
      <c r="E343" s="20"/>
      <c r="F343" s="103">
        <f>INT(F337+F335)</f>
        <v>18890</v>
      </c>
      <c r="G343" s="20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2"/>
      <c r="V343" s="11"/>
    </row>
    <row r="344" spans="1:22" ht="14.45" customHeight="1">
      <c r="A344" s="11"/>
      <c r="B344" s="11"/>
      <c r="C344" s="11"/>
      <c r="D344" s="11"/>
      <c r="E344" s="11"/>
      <c r="F344" s="96"/>
      <c r="G344" s="11"/>
      <c r="U344" s="15"/>
      <c r="V344" s="11"/>
    </row>
    <row r="345" spans="1:22" ht="14.45" customHeight="1">
      <c r="A345" s="55" t="s">
        <v>1170</v>
      </c>
      <c r="B345" s="55" t="s">
        <v>1147</v>
      </c>
      <c r="C345" s="11"/>
      <c r="D345" s="11"/>
      <c r="E345" s="11"/>
      <c r="F345" s="105">
        <f>INT(H345*M345*O345)</f>
        <v>21743</v>
      </c>
      <c r="G345" s="11"/>
      <c r="H345" s="1126">
        <v>83693000</v>
      </c>
      <c r="I345" s="1126"/>
      <c r="J345" s="1126"/>
      <c r="K345" s="1126"/>
      <c r="L345" s="28" t="s">
        <v>165</v>
      </c>
      <c r="M345" s="106">
        <v>2598</v>
      </c>
      <c r="N345" s="10" t="s">
        <v>165</v>
      </c>
      <c r="O345" s="1017">
        <v>9.9999999999999995E-8</v>
      </c>
      <c r="P345" s="1017"/>
      <c r="Q345" s="1017"/>
      <c r="R345" s="1017"/>
      <c r="U345" s="15"/>
      <c r="V345" s="11"/>
    </row>
    <row r="346" spans="1:22" ht="14.45" customHeight="1">
      <c r="A346" s="11"/>
      <c r="B346" s="11"/>
      <c r="C346" s="11"/>
      <c r="D346" s="11"/>
      <c r="E346" s="11"/>
      <c r="F346" s="96"/>
      <c r="G346" s="11"/>
      <c r="U346" s="15"/>
      <c r="V346" s="11"/>
    </row>
    <row r="347" spans="1:22" ht="14.45" customHeight="1">
      <c r="A347" s="11"/>
      <c r="B347" s="11"/>
      <c r="C347" s="11"/>
      <c r="D347" s="11"/>
      <c r="E347" s="11"/>
      <c r="F347" s="96"/>
      <c r="G347" s="11"/>
      <c r="U347" s="15"/>
      <c r="V347" s="11"/>
    </row>
    <row r="348" spans="1:22" ht="14.45" customHeight="1">
      <c r="A348" s="11"/>
      <c r="B348" s="11"/>
      <c r="C348" s="11"/>
      <c r="D348" s="11"/>
      <c r="E348" s="11"/>
      <c r="F348" s="96"/>
      <c r="G348" s="11"/>
      <c r="U348" s="15"/>
      <c r="V348" s="11"/>
    </row>
    <row r="349" spans="1:22" ht="14.45" customHeight="1">
      <c r="A349" s="11"/>
      <c r="B349" s="11"/>
      <c r="C349" s="11"/>
      <c r="D349" s="11"/>
      <c r="E349" s="11"/>
      <c r="F349" s="96"/>
      <c r="G349" s="11"/>
      <c r="U349" s="15"/>
      <c r="V349" s="11"/>
    </row>
    <row r="350" spans="1:22" ht="14.45" customHeight="1">
      <c r="A350" s="11"/>
      <c r="B350" s="11"/>
      <c r="C350" s="11"/>
      <c r="D350" s="11"/>
      <c r="E350" s="11"/>
      <c r="F350" s="96"/>
      <c r="G350" s="11"/>
      <c r="U350" s="15"/>
      <c r="V350" s="11"/>
    </row>
    <row r="351" spans="1:22" ht="14.45" customHeight="1">
      <c r="A351" s="11"/>
      <c r="B351" s="11"/>
      <c r="C351" s="11"/>
      <c r="D351" s="11"/>
      <c r="E351" s="11"/>
      <c r="F351" s="96"/>
      <c r="G351" s="11"/>
      <c r="U351" s="15"/>
      <c r="V351" s="11"/>
    </row>
    <row r="352" spans="1:22" ht="14.45" customHeight="1">
      <c r="A352" s="20"/>
      <c r="B352" s="20"/>
      <c r="C352" s="20"/>
      <c r="D352" s="20"/>
      <c r="E352" s="20"/>
      <c r="F352" s="102"/>
      <c r="G352" s="20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2"/>
      <c r="V352" s="11"/>
    </row>
    <row r="353" spans="1:22" ht="14.45" customHeight="1">
      <c r="A353" s="11"/>
      <c r="B353" s="11"/>
      <c r="C353" s="11"/>
      <c r="D353" s="11"/>
      <c r="E353" s="11"/>
      <c r="F353" s="96"/>
      <c r="G353" s="11"/>
      <c r="U353" s="15"/>
      <c r="V353" s="11"/>
    </row>
    <row r="354" spans="1:22" ht="14.45" customHeight="1">
      <c r="A354" s="59" t="s">
        <v>1156</v>
      </c>
      <c r="B354" s="20"/>
      <c r="C354" s="20"/>
      <c r="D354" s="20"/>
      <c r="E354" s="20"/>
      <c r="F354" s="103">
        <f>F333+F343+F345</f>
        <v>90112</v>
      </c>
      <c r="G354" s="20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2"/>
      <c r="V354" s="11"/>
    </row>
    <row r="355" spans="1:22" ht="14.45" customHeight="1">
      <c r="A355" s="90" t="s">
        <v>1743</v>
      </c>
      <c r="B355" s="6"/>
      <c r="C355" s="6"/>
      <c r="D355" s="6"/>
      <c r="F355" s="80"/>
    </row>
    <row r="356" spans="1:22" ht="14.45" customHeight="1">
      <c r="A356" s="21"/>
      <c r="B356" s="21"/>
      <c r="C356" s="21"/>
      <c r="D356" s="21"/>
      <c r="E356" s="21"/>
      <c r="F356" s="107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</row>
    <row r="357" spans="1:22" ht="25.5" customHeight="1">
      <c r="A357" s="2" t="s">
        <v>1009</v>
      </c>
      <c r="B357" s="2" t="s">
        <v>1010</v>
      </c>
      <c r="C357" s="2" t="s">
        <v>1217</v>
      </c>
      <c r="D357" s="2" t="s">
        <v>1011</v>
      </c>
      <c r="E357" s="2" t="s">
        <v>207</v>
      </c>
      <c r="F357" s="2" t="s">
        <v>54</v>
      </c>
      <c r="G357" s="1119" t="s">
        <v>1766</v>
      </c>
      <c r="H357" s="1120"/>
      <c r="I357" s="1120"/>
      <c r="J357" s="1120"/>
      <c r="K357" s="1120"/>
      <c r="L357" s="1120"/>
      <c r="M357" s="1120"/>
      <c r="N357" s="1120"/>
      <c r="O357" s="1120"/>
      <c r="P357" s="1120"/>
      <c r="Q357" s="1120"/>
      <c r="R357" s="1120"/>
      <c r="S357" s="1120"/>
      <c r="T357" s="1120"/>
      <c r="U357" s="1121"/>
      <c r="V357" s="11"/>
    </row>
    <row r="358" spans="1:22" ht="14.45" customHeight="1">
      <c r="A358" s="11"/>
      <c r="B358" s="11"/>
      <c r="C358" s="11"/>
      <c r="D358" s="11"/>
      <c r="E358" s="11"/>
      <c r="F358" s="96"/>
      <c r="G358" s="11"/>
      <c r="U358" s="15"/>
      <c r="V358" s="11"/>
    </row>
    <row r="359" spans="1:22" ht="14.45" customHeight="1">
      <c r="A359" s="55" t="s">
        <v>1168</v>
      </c>
      <c r="B359" s="55" t="s">
        <v>1261</v>
      </c>
      <c r="C359" s="11">
        <v>1</v>
      </c>
      <c r="D359" s="55" t="s">
        <v>1328</v>
      </c>
      <c r="E359" s="111">
        <f>U359</f>
        <v>49479</v>
      </c>
      <c r="F359" s="97">
        <f>U359</f>
        <v>49479</v>
      </c>
      <c r="G359" s="98">
        <f>노임!F5</f>
        <v>237500</v>
      </c>
      <c r="H359" s="28" t="s">
        <v>683</v>
      </c>
      <c r="I359" s="28">
        <v>1</v>
      </c>
      <c r="J359" s="28" t="s">
        <v>682</v>
      </c>
      <c r="K359" s="28">
        <v>8</v>
      </c>
      <c r="L359" s="28" t="s">
        <v>683</v>
      </c>
      <c r="M359" s="28">
        <v>25</v>
      </c>
      <c r="N359" s="28" t="s">
        <v>682</v>
      </c>
      <c r="O359" s="28">
        <v>20</v>
      </c>
      <c r="P359" s="28" t="s">
        <v>683</v>
      </c>
      <c r="Q359" s="28">
        <v>16</v>
      </c>
      <c r="R359" s="28" t="s">
        <v>682</v>
      </c>
      <c r="S359" s="28">
        <v>12</v>
      </c>
      <c r="T359" s="28" t="s">
        <v>1167</v>
      </c>
      <c r="U359" s="99">
        <f>INT(G359*I359/K359*M359/O359*Q359/S359)</f>
        <v>49479</v>
      </c>
      <c r="V359" s="11"/>
    </row>
    <row r="360" spans="1:22" ht="14.45" customHeight="1">
      <c r="A360" s="11"/>
      <c r="B360" s="11"/>
      <c r="C360" s="11"/>
      <c r="D360" s="11"/>
      <c r="E360" s="11"/>
      <c r="F360" s="96"/>
      <c r="G360" s="96"/>
      <c r="H360" s="28"/>
      <c r="I360" s="28"/>
      <c r="J360" s="28"/>
      <c r="K360" s="28"/>
      <c r="L360" s="28"/>
      <c r="M360" s="28"/>
      <c r="N360" s="28"/>
      <c r="O360" s="388"/>
      <c r="P360" s="28"/>
      <c r="Q360" s="28"/>
      <c r="R360" s="28"/>
      <c r="S360" s="28"/>
      <c r="T360" s="28"/>
      <c r="U360" s="100"/>
      <c r="V360" s="11"/>
    </row>
    <row r="361" spans="1:22" ht="14.45" customHeight="1">
      <c r="A361" s="11"/>
      <c r="B361" s="55" t="s">
        <v>1262</v>
      </c>
      <c r="C361" s="11"/>
      <c r="D361" s="55" t="s">
        <v>1023</v>
      </c>
      <c r="E361" s="101"/>
      <c r="F361" s="97">
        <f>TRUNC((C361*E361),1)</f>
        <v>0</v>
      </c>
      <c r="G361" s="101"/>
      <c r="H361" s="28" t="s">
        <v>683</v>
      </c>
      <c r="I361" s="28">
        <v>1</v>
      </c>
      <c r="J361" s="28" t="s">
        <v>682</v>
      </c>
      <c r="K361" s="28">
        <v>8</v>
      </c>
      <c r="L361" s="28" t="s">
        <v>683</v>
      </c>
      <c r="M361" s="28">
        <v>25</v>
      </c>
      <c r="N361" s="28" t="s">
        <v>682</v>
      </c>
      <c r="O361" s="28">
        <v>20</v>
      </c>
      <c r="P361" s="28" t="s">
        <v>683</v>
      </c>
      <c r="Q361" s="28">
        <v>16</v>
      </c>
      <c r="R361" s="28" t="s">
        <v>682</v>
      </c>
      <c r="S361" s="28">
        <v>12</v>
      </c>
      <c r="T361" s="28" t="s">
        <v>1167</v>
      </c>
      <c r="U361" s="99">
        <f>INT(G361*I361/K361*M361/O361*Q361/S361)</f>
        <v>0</v>
      </c>
      <c r="V361" s="11"/>
    </row>
    <row r="362" spans="1:22" ht="14.45" customHeight="1">
      <c r="A362" s="11"/>
      <c r="B362" s="11"/>
      <c r="C362" s="11"/>
      <c r="D362" s="11"/>
      <c r="E362" s="96"/>
      <c r="F362" s="96"/>
      <c r="G362" s="96"/>
      <c r="H362" s="28"/>
      <c r="I362" s="28"/>
      <c r="J362" s="28"/>
      <c r="K362" s="28"/>
      <c r="L362" s="28"/>
      <c r="M362" s="28"/>
      <c r="N362" s="28"/>
      <c r="O362" s="388"/>
      <c r="P362" s="28"/>
      <c r="Q362" s="28"/>
      <c r="R362" s="28"/>
      <c r="S362" s="28"/>
      <c r="T362" s="28"/>
      <c r="U362" s="100"/>
      <c r="V362" s="11"/>
    </row>
    <row r="363" spans="1:22" ht="14.45" customHeight="1">
      <c r="A363" s="11"/>
      <c r="B363" s="55" t="s">
        <v>1263</v>
      </c>
      <c r="C363" s="11"/>
      <c r="D363" s="55" t="s">
        <v>1023</v>
      </c>
      <c r="E363" s="101"/>
      <c r="F363" s="97">
        <f>TRUNC((C363*E363),1)</f>
        <v>0</v>
      </c>
      <c r="G363" s="101"/>
      <c r="H363" s="28" t="s">
        <v>683</v>
      </c>
      <c r="I363" s="28">
        <v>1</v>
      </c>
      <c r="J363" s="28" t="s">
        <v>682</v>
      </c>
      <c r="K363" s="28">
        <v>8</v>
      </c>
      <c r="L363" s="28" t="s">
        <v>683</v>
      </c>
      <c r="M363" s="28">
        <v>25</v>
      </c>
      <c r="N363" s="28" t="s">
        <v>682</v>
      </c>
      <c r="O363" s="28">
        <v>20</v>
      </c>
      <c r="P363" s="28" t="s">
        <v>683</v>
      </c>
      <c r="Q363" s="28">
        <v>16</v>
      </c>
      <c r="R363" s="28" t="s">
        <v>682</v>
      </c>
      <c r="S363" s="28">
        <v>12</v>
      </c>
      <c r="T363" s="28" t="s">
        <v>1167</v>
      </c>
      <c r="U363" s="99">
        <f>INT(G363*I363/K363*M363/O363*Q363/S363)</f>
        <v>0</v>
      </c>
      <c r="V363" s="11"/>
    </row>
    <row r="364" spans="1:22" ht="14.45" customHeight="1">
      <c r="A364" s="11"/>
      <c r="B364" s="11"/>
      <c r="C364" s="11"/>
      <c r="D364" s="11"/>
      <c r="E364" s="11"/>
      <c r="F364" s="96"/>
      <c r="G364" s="11"/>
      <c r="U364" s="15"/>
      <c r="V364" s="11"/>
    </row>
    <row r="365" spans="1:22" ht="14.45" customHeight="1">
      <c r="A365" s="20"/>
      <c r="B365" s="59" t="s">
        <v>1020</v>
      </c>
      <c r="C365" s="20"/>
      <c r="D365" s="20"/>
      <c r="E365" s="20"/>
      <c r="F365" s="103">
        <f>INT(F363+F361+F359)</f>
        <v>49479</v>
      </c>
      <c r="G365" s="20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2"/>
      <c r="V365" s="11"/>
    </row>
    <row r="366" spans="1:22" ht="14.45" customHeight="1">
      <c r="A366" s="11"/>
      <c r="B366" s="11"/>
      <c r="C366" s="11"/>
      <c r="D366" s="11"/>
      <c r="E366" s="11"/>
      <c r="F366" s="96"/>
      <c r="G366" s="11"/>
      <c r="U366" s="15"/>
      <c r="V366" s="11"/>
    </row>
    <row r="367" spans="1:22" ht="14.45" customHeight="1">
      <c r="A367" s="55" t="s">
        <v>1169</v>
      </c>
      <c r="B367" s="55" t="s">
        <v>1146</v>
      </c>
      <c r="C367" s="11">
        <v>11</v>
      </c>
      <c r="D367" s="55" t="s">
        <v>636</v>
      </c>
      <c r="E367" s="101">
        <f>자재!$F$19</f>
        <v>1528.38</v>
      </c>
      <c r="F367" s="97">
        <f>ROUNDDOWN(E367*C367,1)</f>
        <v>16812.099999999999</v>
      </c>
      <c r="G367" s="11"/>
      <c r="U367" s="15"/>
      <c r="V367" s="11"/>
    </row>
    <row r="368" spans="1:22" ht="14.45" customHeight="1">
      <c r="A368" s="11"/>
      <c r="B368" s="11"/>
      <c r="C368" s="11"/>
      <c r="D368" s="11"/>
      <c r="E368" s="11"/>
      <c r="F368" s="11"/>
      <c r="G368" s="11"/>
      <c r="U368" s="15"/>
      <c r="V368" s="11"/>
    </row>
    <row r="369" spans="1:22" ht="14.45" customHeight="1">
      <c r="A369" s="11"/>
      <c r="B369" s="55" t="s">
        <v>1153</v>
      </c>
      <c r="C369" s="11">
        <v>0.2</v>
      </c>
      <c r="D369" s="11"/>
      <c r="E369" s="101">
        <f>F367</f>
        <v>16812.099999999999</v>
      </c>
      <c r="F369" s="97">
        <f>ROUNDDOWN(E369*C369,1)</f>
        <v>3362.4</v>
      </c>
      <c r="G369" s="11"/>
      <c r="U369" s="15"/>
      <c r="V369" s="11"/>
    </row>
    <row r="370" spans="1:22" ht="14.45" customHeight="1">
      <c r="A370" s="11"/>
      <c r="B370" s="11"/>
      <c r="C370" s="11"/>
      <c r="D370" s="11"/>
      <c r="E370" s="11"/>
      <c r="F370" s="96"/>
      <c r="G370" s="11"/>
      <c r="U370" s="15"/>
      <c r="V370" s="11"/>
    </row>
    <row r="371" spans="1:22" ht="14.45" customHeight="1">
      <c r="A371" s="11"/>
      <c r="B371" s="11"/>
      <c r="C371" s="11"/>
      <c r="D371" s="11"/>
      <c r="E371" s="11"/>
      <c r="F371" s="96"/>
      <c r="G371" s="11"/>
      <c r="U371" s="15"/>
      <c r="V371" s="11"/>
    </row>
    <row r="372" spans="1:22" ht="14.45" customHeight="1">
      <c r="A372" s="11"/>
      <c r="B372" s="11"/>
      <c r="C372" s="11"/>
      <c r="D372" s="11"/>
      <c r="E372" s="11"/>
      <c r="F372" s="96"/>
      <c r="G372" s="11"/>
      <c r="U372" s="15"/>
      <c r="V372" s="11"/>
    </row>
    <row r="373" spans="1:22" ht="14.45" customHeight="1">
      <c r="A373" s="11"/>
      <c r="B373" s="11"/>
      <c r="C373" s="11"/>
      <c r="D373" s="11"/>
      <c r="E373" s="11"/>
      <c r="F373" s="96"/>
      <c r="G373" s="11"/>
      <c r="U373" s="15"/>
      <c r="V373" s="11"/>
    </row>
    <row r="374" spans="1:22" ht="14.45" customHeight="1">
      <c r="A374" s="11"/>
      <c r="B374" s="11"/>
      <c r="C374" s="11"/>
      <c r="D374" s="11"/>
      <c r="E374" s="11"/>
      <c r="F374" s="96"/>
      <c r="G374" s="11"/>
      <c r="U374" s="15"/>
      <c r="V374" s="11"/>
    </row>
    <row r="375" spans="1:22" ht="14.45" customHeight="1">
      <c r="A375" s="20"/>
      <c r="B375" s="59" t="s">
        <v>1020</v>
      </c>
      <c r="C375" s="20"/>
      <c r="D375" s="20"/>
      <c r="E375" s="20"/>
      <c r="F375" s="103">
        <f>INT(F369+F367)</f>
        <v>20174</v>
      </c>
      <c r="G375" s="20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2"/>
      <c r="V375" s="11"/>
    </row>
    <row r="376" spans="1:22" ht="14.45" customHeight="1">
      <c r="A376" s="11"/>
      <c r="B376" s="11"/>
      <c r="C376" s="11"/>
      <c r="D376" s="11"/>
      <c r="E376" s="11"/>
      <c r="F376" s="96"/>
      <c r="G376" s="11"/>
      <c r="U376" s="15"/>
      <c r="V376" s="11"/>
    </row>
    <row r="377" spans="1:22" ht="14.45" customHeight="1">
      <c r="A377" s="55" t="s">
        <v>1170</v>
      </c>
      <c r="B377" s="55" t="s">
        <v>1147</v>
      </c>
      <c r="C377" s="11"/>
      <c r="D377" s="11"/>
      <c r="E377" s="11"/>
      <c r="F377" s="105">
        <f>INT(H377*M377*O377)</f>
        <v>26057</v>
      </c>
      <c r="G377" s="11"/>
      <c r="H377" s="1126">
        <v>100297000</v>
      </c>
      <c r="I377" s="1126"/>
      <c r="J377" s="1126"/>
      <c r="K377" s="1126"/>
      <c r="L377" s="28" t="s">
        <v>165</v>
      </c>
      <c r="M377" s="106">
        <v>2598</v>
      </c>
      <c r="N377" s="10" t="s">
        <v>165</v>
      </c>
      <c r="O377" s="1017">
        <v>9.9999999999999995E-8</v>
      </c>
      <c r="P377" s="1017"/>
      <c r="Q377" s="1017"/>
      <c r="R377" s="1017"/>
      <c r="U377" s="15"/>
      <c r="V377" s="11"/>
    </row>
    <row r="378" spans="1:22" ht="14.45" customHeight="1">
      <c r="A378" s="11"/>
      <c r="B378" s="11"/>
      <c r="C378" s="11"/>
      <c r="D378" s="11"/>
      <c r="E378" s="11"/>
      <c r="F378" s="96"/>
      <c r="G378" s="11"/>
      <c r="U378" s="15"/>
      <c r="V378" s="11"/>
    </row>
    <row r="379" spans="1:22" ht="14.45" customHeight="1">
      <c r="A379" s="11"/>
      <c r="B379" s="11"/>
      <c r="C379" s="11"/>
      <c r="D379" s="11"/>
      <c r="E379" s="11"/>
      <c r="F379" s="96"/>
      <c r="G379" s="11"/>
      <c r="U379" s="15"/>
      <c r="V379" s="11"/>
    </row>
    <row r="380" spans="1:22" ht="14.45" customHeight="1">
      <c r="A380" s="11"/>
      <c r="B380" s="11"/>
      <c r="C380" s="11"/>
      <c r="D380" s="11"/>
      <c r="E380" s="11"/>
      <c r="F380" s="96"/>
      <c r="G380" s="11"/>
      <c r="U380" s="15"/>
      <c r="V380" s="11"/>
    </row>
    <row r="381" spans="1:22" ht="14.45" customHeight="1">
      <c r="A381" s="11"/>
      <c r="B381" s="11"/>
      <c r="C381" s="11"/>
      <c r="D381" s="11"/>
      <c r="E381" s="11"/>
      <c r="F381" s="96"/>
      <c r="G381" s="11"/>
      <c r="U381" s="15"/>
      <c r="V381" s="11"/>
    </row>
    <row r="382" spans="1:22" ht="14.45" customHeight="1">
      <c r="A382" s="11"/>
      <c r="B382" s="11"/>
      <c r="C382" s="11"/>
      <c r="D382" s="11"/>
      <c r="E382" s="11"/>
      <c r="F382" s="96"/>
      <c r="G382" s="11"/>
      <c r="U382" s="15"/>
      <c r="V382" s="11"/>
    </row>
    <row r="383" spans="1:22" ht="14.45" customHeight="1">
      <c r="A383" s="11"/>
      <c r="B383" s="11"/>
      <c r="C383" s="11"/>
      <c r="D383" s="11"/>
      <c r="E383" s="11"/>
      <c r="F383" s="96"/>
      <c r="G383" s="11"/>
      <c r="U383" s="15"/>
      <c r="V383" s="11"/>
    </row>
    <row r="384" spans="1:22" ht="14.45" customHeight="1">
      <c r="A384" s="20"/>
      <c r="B384" s="20"/>
      <c r="C384" s="20"/>
      <c r="D384" s="20"/>
      <c r="E384" s="20"/>
      <c r="F384" s="102"/>
      <c r="G384" s="20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2"/>
      <c r="V384" s="11"/>
    </row>
    <row r="385" spans="1:22" ht="14.45" customHeight="1">
      <c r="A385" s="11"/>
      <c r="B385" s="11"/>
      <c r="C385" s="11"/>
      <c r="D385" s="11"/>
      <c r="E385" s="11"/>
      <c r="F385" s="96"/>
      <c r="G385" s="11"/>
      <c r="U385" s="15"/>
      <c r="V385" s="11"/>
    </row>
    <row r="386" spans="1:22" ht="14.45" customHeight="1">
      <c r="A386" s="59" t="s">
        <v>1156</v>
      </c>
      <c r="B386" s="20"/>
      <c r="C386" s="20"/>
      <c r="D386" s="20"/>
      <c r="E386" s="20"/>
      <c r="F386" s="103">
        <f>F365+F375+F377</f>
        <v>95710</v>
      </c>
      <c r="G386" s="20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2"/>
      <c r="V386" s="11"/>
    </row>
    <row r="387" spans="1:22" ht="14.45" customHeight="1">
      <c r="A387" s="90" t="s">
        <v>963</v>
      </c>
      <c r="B387" s="6"/>
      <c r="C387" s="6"/>
      <c r="F387" s="80"/>
    </row>
    <row r="388" spans="1:22" ht="14.45" customHeight="1">
      <c r="A388" s="21"/>
      <c r="B388" s="21"/>
      <c r="C388" s="21"/>
      <c r="D388" s="21"/>
      <c r="E388" s="21"/>
      <c r="F388" s="107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</row>
    <row r="389" spans="1:22" ht="25.5" customHeight="1">
      <c r="A389" s="2" t="s">
        <v>1009</v>
      </c>
      <c r="B389" s="2" t="s">
        <v>1010</v>
      </c>
      <c r="C389" s="2" t="s">
        <v>1217</v>
      </c>
      <c r="D389" s="2" t="s">
        <v>1011</v>
      </c>
      <c r="E389" s="2" t="s">
        <v>207</v>
      </c>
      <c r="F389" s="2" t="s">
        <v>54</v>
      </c>
      <c r="G389" s="1119" t="s">
        <v>1766</v>
      </c>
      <c r="H389" s="1120"/>
      <c r="I389" s="1120"/>
      <c r="J389" s="1120"/>
      <c r="K389" s="1120"/>
      <c r="L389" s="1120"/>
      <c r="M389" s="1120"/>
      <c r="N389" s="1120"/>
      <c r="O389" s="1120"/>
      <c r="P389" s="1120"/>
      <c r="Q389" s="1120"/>
      <c r="R389" s="1120"/>
      <c r="S389" s="1120"/>
      <c r="T389" s="1120"/>
      <c r="U389" s="1121"/>
      <c r="V389" s="11"/>
    </row>
    <row r="390" spans="1:22" ht="14.45" customHeight="1">
      <c r="A390" s="11"/>
      <c r="B390" s="11"/>
      <c r="C390" s="11"/>
      <c r="D390" s="11"/>
      <c r="E390" s="11"/>
      <c r="F390" s="96"/>
      <c r="G390" s="11"/>
      <c r="U390" s="15"/>
      <c r="V390" s="11"/>
    </row>
    <row r="391" spans="1:22" ht="14.45" customHeight="1">
      <c r="A391" s="55" t="s">
        <v>1168</v>
      </c>
      <c r="B391" s="55" t="s">
        <v>1261</v>
      </c>
      <c r="C391" s="11">
        <v>1</v>
      </c>
      <c r="D391" s="55" t="s">
        <v>1328</v>
      </c>
      <c r="E391" s="111">
        <f>U391</f>
        <v>57077</v>
      </c>
      <c r="F391" s="97">
        <f>U391</f>
        <v>57077</v>
      </c>
      <c r="G391" s="98">
        <f>노임!$F$3</f>
        <v>273971</v>
      </c>
      <c r="H391" s="28" t="s">
        <v>683</v>
      </c>
      <c r="I391" s="28">
        <v>1</v>
      </c>
      <c r="J391" s="28" t="s">
        <v>682</v>
      </c>
      <c r="K391" s="28">
        <v>8</v>
      </c>
      <c r="L391" s="28" t="s">
        <v>683</v>
      </c>
      <c r="M391" s="28">
        <v>25</v>
      </c>
      <c r="N391" s="28" t="s">
        <v>682</v>
      </c>
      <c r="O391" s="28">
        <v>20</v>
      </c>
      <c r="P391" s="28" t="s">
        <v>683</v>
      </c>
      <c r="Q391" s="28">
        <v>16</v>
      </c>
      <c r="R391" s="28" t="s">
        <v>682</v>
      </c>
      <c r="S391" s="28">
        <v>12</v>
      </c>
      <c r="T391" s="28" t="s">
        <v>1167</v>
      </c>
      <c r="U391" s="99">
        <f>INT(G391*I391/K391*M391/O391*Q391/S391)</f>
        <v>57077</v>
      </c>
      <c r="V391" s="11"/>
    </row>
    <row r="392" spans="1:22" ht="14.45" customHeight="1">
      <c r="A392" s="11"/>
      <c r="B392" s="11"/>
      <c r="C392" s="11"/>
      <c r="D392" s="11"/>
      <c r="E392" s="11"/>
      <c r="F392" s="96"/>
      <c r="G392" s="96"/>
      <c r="H392" s="28"/>
      <c r="I392" s="28"/>
      <c r="J392" s="28"/>
      <c r="K392" s="28"/>
      <c r="L392" s="28"/>
      <c r="M392" s="28"/>
      <c r="N392" s="28"/>
      <c r="O392" s="388"/>
      <c r="P392" s="28"/>
      <c r="Q392" s="28"/>
      <c r="R392" s="28"/>
      <c r="S392" s="28"/>
      <c r="T392" s="28"/>
      <c r="U392" s="100"/>
      <c r="V392" s="11"/>
    </row>
    <row r="393" spans="1:22" ht="14.45" customHeight="1">
      <c r="A393" s="11"/>
      <c r="B393" s="55" t="s">
        <v>1262</v>
      </c>
      <c r="C393" s="11"/>
      <c r="D393" s="55" t="s">
        <v>1023</v>
      </c>
      <c r="E393" s="11">
        <f>U393</f>
        <v>0</v>
      </c>
      <c r="F393" s="97">
        <f>TRUNC((C393*E393),1)</f>
        <v>0</v>
      </c>
      <c r="G393" s="101">
        <f>G297</f>
        <v>0</v>
      </c>
      <c r="H393" s="28" t="s">
        <v>683</v>
      </c>
      <c r="I393" s="28">
        <v>1</v>
      </c>
      <c r="J393" s="28" t="s">
        <v>682</v>
      </c>
      <c r="K393" s="28">
        <v>8</v>
      </c>
      <c r="L393" s="28" t="s">
        <v>683</v>
      </c>
      <c r="M393" s="28">
        <v>25</v>
      </c>
      <c r="N393" s="28" t="s">
        <v>682</v>
      </c>
      <c r="O393" s="28">
        <v>20</v>
      </c>
      <c r="P393" s="28" t="s">
        <v>683</v>
      </c>
      <c r="Q393" s="28">
        <v>16</v>
      </c>
      <c r="R393" s="28" t="s">
        <v>682</v>
      </c>
      <c r="S393" s="28">
        <v>12</v>
      </c>
      <c r="T393" s="28" t="s">
        <v>1167</v>
      </c>
      <c r="U393" s="99">
        <f>INT(G393*I393/K393*M393/O393*Q393/S393)</f>
        <v>0</v>
      </c>
      <c r="V393" s="11"/>
    </row>
    <row r="394" spans="1:22" ht="14.45" customHeight="1">
      <c r="A394" s="11"/>
      <c r="B394" s="11"/>
      <c r="C394" s="11"/>
      <c r="D394" s="11"/>
      <c r="E394" s="11"/>
      <c r="F394" s="96"/>
      <c r="G394" s="96"/>
      <c r="H394" s="28"/>
      <c r="I394" s="28"/>
      <c r="J394" s="28"/>
      <c r="K394" s="28"/>
      <c r="L394" s="28"/>
      <c r="M394" s="28"/>
      <c r="N394" s="28"/>
      <c r="O394" s="388"/>
      <c r="P394" s="28"/>
      <c r="Q394" s="28"/>
      <c r="R394" s="28"/>
      <c r="S394" s="28"/>
      <c r="T394" s="28"/>
      <c r="U394" s="100"/>
      <c r="V394" s="11"/>
    </row>
    <row r="395" spans="1:22" ht="14.45" customHeight="1">
      <c r="A395" s="11"/>
      <c r="B395" s="55" t="s">
        <v>1263</v>
      </c>
      <c r="C395" s="11"/>
      <c r="D395" s="55" t="s">
        <v>1023</v>
      </c>
      <c r="E395" s="11">
        <f>U395</f>
        <v>0</v>
      </c>
      <c r="F395" s="97">
        <f>TRUNC((C395*E395),1)</f>
        <v>0</v>
      </c>
      <c r="G395" s="101">
        <f>G299</f>
        <v>0</v>
      </c>
      <c r="H395" s="28" t="s">
        <v>683</v>
      </c>
      <c r="I395" s="28">
        <v>1</v>
      </c>
      <c r="J395" s="28" t="s">
        <v>682</v>
      </c>
      <c r="K395" s="28">
        <v>8</v>
      </c>
      <c r="L395" s="28" t="s">
        <v>683</v>
      </c>
      <c r="M395" s="28">
        <v>25</v>
      </c>
      <c r="N395" s="28" t="s">
        <v>682</v>
      </c>
      <c r="O395" s="28">
        <v>20</v>
      </c>
      <c r="P395" s="28" t="s">
        <v>683</v>
      </c>
      <c r="Q395" s="28">
        <v>16</v>
      </c>
      <c r="R395" s="28" t="s">
        <v>682</v>
      </c>
      <c r="S395" s="28">
        <v>12</v>
      </c>
      <c r="T395" s="28" t="s">
        <v>1167</v>
      </c>
      <c r="U395" s="99">
        <f>INT(G395*I395/K395*M395/O395*Q395/S395)</f>
        <v>0</v>
      </c>
      <c r="V395" s="11"/>
    </row>
    <row r="396" spans="1:22" ht="14.45" customHeight="1">
      <c r="A396" s="11"/>
      <c r="B396" s="11"/>
      <c r="C396" s="11"/>
      <c r="D396" s="11"/>
      <c r="E396" s="11"/>
      <c r="F396" s="96"/>
      <c r="G396" s="96"/>
      <c r="O396" s="16"/>
      <c r="U396" s="15"/>
      <c r="V396" s="11"/>
    </row>
    <row r="397" spans="1:22" ht="14.45" customHeight="1">
      <c r="A397" s="20"/>
      <c r="B397" s="59" t="s">
        <v>1020</v>
      </c>
      <c r="C397" s="20"/>
      <c r="D397" s="20"/>
      <c r="E397" s="20"/>
      <c r="F397" s="103">
        <f>INT(F395+F393+F391)</f>
        <v>57077</v>
      </c>
      <c r="G397" s="102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2"/>
      <c r="V397" s="11"/>
    </row>
    <row r="398" spans="1:22" ht="14.45" customHeight="1">
      <c r="A398" s="11"/>
      <c r="B398" s="11"/>
      <c r="C398" s="11"/>
      <c r="D398" s="11"/>
      <c r="E398" s="11"/>
      <c r="F398" s="96"/>
      <c r="G398" s="11"/>
      <c r="U398" s="15"/>
      <c r="V398" s="11"/>
    </row>
    <row r="399" spans="1:22" ht="14.45" customHeight="1">
      <c r="A399" s="55" t="s">
        <v>1169</v>
      </c>
      <c r="B399" s="55" t="s">
        <v>1146</v>
      </c>
      <c r="C399" s="11">
        <v>16.2</v>
      </c>
      <c r="D399" s="55" t="s">
        <v>636</v>
      </c>
      <c r="E399" s="101">
        <f>자재!$F$19</f>
        <v>1528.38</v>
      </c>
      <c r="F399" s="97">
        <f>ROUNDDOWN(E399*C399,1)</f>
        <v>24759.7</v>
      </c>
      <c r="G399" s="11"/>
      <c r="U399" s="15"/>
      <c r="V399" s="11"/>
    </row>
    <row r="400" spans="1:22" ht="14.45" customHeight="1">
      <c r="A400" s="11"/>
      <c r="B400" s="11"/>
      <c r="C400" s="11"/>
      <c r="D400" s="11"/>
      <c r="E400" s="11"/>
      <c r="F400" s="11"/>
      <c r="G400" s="11"/>
      <c r="U400" s="15"/>
      <c r="V400" s="11"/>
    </row>
    <row r="401" spans="1:22" ht="14.45" customHeight="1">
      <c r="A401" s="11"/>
      <c r="B401" s="55" t="s">
        <v>215</v>
      </c>
      <c r="C401" s="11">
        <v>0.39</v>
      </c>
      <c r="D401" s="11"/>
      <c r="E401" s="101">
        <f>F399</f>
        <v>24759.7</v>
      </c>
      <c r="F401" s="97">
        <f>ROUNDDOWN(E401*C401,1)</f>
        <v>9656.2000000000007</v>
      </c>
      <c r="G401" s="11"/>
      <c r="U401" s="15"/>
      <c r="V401" s="11"/>
    </row>
    <row r="402" spans="1:22" ht="14.45" customHeight="1">
      <c r="A402" s="11"/>
      <c r="B402" s="11"/>
      <c r="C402" s="11"/>
      <c r="D402" s="11"/>
      <c r="E402" s="11"/>
      <c r="F402" s="96"/>
      <c r="G402" s="11"/>
      <c r="U402" s="15"/>
      <c r="V402" s="11"/>
    </row>
    <row r="403" spans="1:22" ht="14.45" customHeight="1">
      <c r="A403" s="11"/>
      <c r="B403" s="11"/>
      <c r="C403" s="11"/>
      <c r="D403" s="11"/>
      <c r="E403" s="11"/>
      <c r="F403" s="96"/>
      <c r="G403" s="11"/>
      <c r="U403" s="15"/>
      <c r="V403" s="11"/>
    </row>
    <row r="404" spans="1:22" ht="14.45" customHeight="1">
      <c r="A404" s="11"/>
      <c r="B404" s="11"/>
      <c r="C404" s="11"/>
      <c r="D404" s="11"/>
      <c r="E404" s="11"/>
      <c r="F404" s="96"/>
      <c r="G404" s="11"/>
      <c r="U404" s="15"/>
      <c r="V404" s="11"/>
    </row>
    <row r="405" spans="1:22" ht="14.45" customHeight="1">
      <c r="A405" s="11"/>
      <c r="B405" s="11"/>
      <c r="C405" s="11"/>
      <c r="D405" s="11"/>
      <c r="E405" s="11"/>
      <c r="F405" s="96"/>
      <c r="G405" s="11"/>
      <c r="U405" s="15"/>
      <c r="V405" s="11"/>
    </row>
    <row r="406" spans="1:22" ht="14.45" customHeight="1">
      <c r="A406" s="11"/>
      <c r="B406" s="11"/>
      <c r="C406" s="11"/>
      <c r="D406" s="11"/>
      <c r="E406" s="11"/>
      <c r="F406" s="96"/>
      <c r="G406" s="11"/>
      <c r="U406" s="15"/>
      <c r="V406" s="11"/>
    </row>
    <row r="407" spans="1:22" ht="14.45" customHeight="1">
      <c r="A407" s="20"/>
      <c r="B407" s="59" t="s">
        <v>1020</v>
      </c>
      <c r="C407" s="20"/>
      <c r="D407" s="20"/>
      <c r="E407" s="20"/>
      <c r="F407" s="103">
        <f>INT(F401+F399)</f>
        <v>34415</v>
      </c>
      <c r="G407" s="20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2"/>
      <c r="V407" s="11"/>
    </row>
    <row r="408" spans="1:22" ht="14.45" customHeight="1">
      <c r="A408" s="11"/>
      <c r="B408" s="11"/>
      <c r="C408" s="11"/>
      <c r="D408" s="11"/>
      <c r="E408" s="11"/>
      <c r="F408" s="96"/>
      <c r="G408" s="11"/>
      <c r="U408" s="15"/>
      <c r="V408" s="11"/>
    </row>
    <row r="409" spans="1:22" ht="14.45" customHeight="1">
      <c r="A409" s="55" t="s">
        <v>1170</v>
      </c>
      <c r="B409" s="55" t="s">
        <v>1147</v>
      </c>
      <c r="C409" s="11"/>
      <c r="D409" s="11"/>
      <c r="E409" s="11"/>
      <c r="F409" s="105">
        <f>INT(H409*M409*O409)</f>
        <v>41252</v>
      </c>
      <c r="G409" s="11"/>
      <c r="H409" s="1017">
        <f>중기가격!E9</f>
        <v>282357000</v>
      </c>
      <c r="I409" s="1017"/>
      <c r="J409" s="1017"/>
      <c r="K409" s="1017"/>
      <c r="L409" s="28" t="s">
        <v>921</v>
      </c>
      <c r="M409" s="106">
        <v>1461</v>
      </c>
      <c r="N409" s="10" t="s">
        <v>921</v>
      </c>
      <c r="O409" s="1017">
        <v>9.9999999999999995E-8</v>
      </c>
      <c r="P409" s="1017"/>
      <c r="Q409" s="1017"/>
      <c r="R409" s="1017"/>
      <c r="U409" s="15"/>
      <c r="V409" s="11"/>
    </row>
    <row r="410" spans="1:22" ht="14.45" customHeight="1">
      <c r="A410" s="11"/>
      <c r="B410" s="11"/>
      <c r="C410" s="11"/>
      <c r="D410" s="11"/>
      <c r="E410" s="11"/>
      <c r="F410" s="96"/>
      <c r="G410" s="11"/>
      <c r="U410" s="15"/>
      <c r="V410" s="11"/>
    </row>
    <row r="411" spans="1:22" ht="14.45" customHeight="1">
      <c r="A411" s="11"/>
      <c r="B411" s="11"/>
      <c r="C411" s="11"/>
      <c r="D411" s="11"/>
      <c r="E411" s="11"/>
      <c r="F411" s="96"/>
      <c r="G411" s="11"/>
      <c r="U411" s="15"/>
      <c r="V411" s="11"/>
    </row>
    <row r="412" spans="1:22" ht="14.45" customHeight="1">
      <c r="A412" s="11"/>
      <c r="B412" s="11"/>
      <c r="C412" s="11"/>
      <c r="D412" s="11"/>
      <c r="E412" s="11"/>
      <c r="F412" s="96"/>
      <c r="G412" s="11"/>
      <c r="U412" s="15"/>
      <c r="V412" s="11"/>
    </row>
    <row r="413" spans="1:22" ht="14.45" customHeight="1">
      <c r="A413" s="11"/>
      <c r="B413" s="11"/>
      <c r="C413" s="11"/>
      <c r="D413" s="11"/>
      <c r="E413" s="11"/>
      <c r="F413" s="96"/>
      <c r="G413" s="11"/>
      <c r="U413" s="15"/>
      <c r="V413" s="11"/>
    </row>
    <row r="414" spans="1:22" ht="14.45" customHeight="1">
      <c r="A414" s="11"/>
      <c r="B414" s="11"/>
      <c r="C414" s="11"/>
      <c r="D414" s="11"/>
      <c r="E414" s="11"/>
      <c r="F414" s="96"/>
      <c r="G414" s="11"/>
      <c r="U414" s="15"/>
      <c r="V414" s="11"/>
    </row>
    <row r="415" spans="1:22" ht="14.45" customHeight="1">
      <c r="A415" s="11"/>
      <c r="B415" s="11"/>
      <c r="C415" s="11"/>
      <c r="D415" s="11"/>
      <c r="E415" s="11"/>
      <c r="F415" s="96"/>
      <c r="G415" s="11"/>
      <c r="U415" s="15"/>
      <c r="V415" s="11"/>
    </row>
    <row r="416" spans="1:22" ht="14.45" customHeight="1">
      <c r="A416" s="20"/>
      <c r="B416" s="20"/>
      <c r="C416" s="20"/>
      <c r="D416" s="20"/>
      <c r="E416" s="20"/>
      <c r="F416" s="102"/>
      <c r="G416" s="20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2"/>
      <c r="V416" s="11"/>
    </row>
    <row r="417" spans="1:22" ht="14.45" customHeight="1">
      <c r="A417" s="11"/>
      <c r="B417" s="11"/>
      <c r="C417" s="11"/>
      <c r="D417" s="11"/>
      <c r="E417" s="11"/>
      <c r="F417" s="96"/>
      <c r="G417" s="11"/>
      <c r="U417" s="15"/>
      <c r="V417" s="11"/>
    </row>
    <row r="418" spans="1:22" ht="14.45" customHeight="1">
      <c r="A418" s="59" t="s">
        <v>1156</v>
      </c>
      <c r="B418" s="20"/>
      <c r="C418" s="20"/>
      <c r="D418" s="20"/>
      <c r="E418" s="20"/>
      <c r="F418" s="103">
        <f>F397+F407+F409</f>
        <v>132744</v>
      </c>
      <c r="G418" s="20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2"/>
      <c r="V418" s="11"/>
    </row>
    <row r="419" spans="1:22" ht="14.45" customHeight="1">
      <c r="A419" s="90" t="s">
        <v>964</v>
      </c>
      <c r="B419" s="6"/>
      <c r="F419" s="80"/>
    </row>
    <row r="420" spans="1:22" ht="14.45" customHeight="1">
      <c r="A420" s="21"/>
      <c r="B420" s="21"/>
      <c r="C420" s="21"/>
      <c r="D420" s="21"/>
      <c r="E420" s="21"/>
      <c r="F420" s="107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</row>
    <row r="421" spans="1:22" ht="25.5" customHeight="1">
      <c r="A421" s="2" t="s">
        <v>1009</v>
      </c>
      <c r="B421" s="2" t="s">
        <v>1010</v>
      </c>
      <c r="C421" s="2" t="s">
        <v>1217</v>
      </c>
      <c r="D421" s="2" t="s">
        <v>1011</v>
      </c>
      <c r="E421" s="2" t="s">
        <v>207</v>
      </c>
      <c r="F421" s="2" t="s">
        <v>54</v>
      </c>
      <c r="G421" s="1119" t="s">
        <v>1766</v>
      </c>
      <c r="H421" s="1120"/>
      <c r="I421" s="1120"/>
      <c r="J421" s="1120"/>
      <c r="K421" s="1120"/>
      <c r="L421" s="1120"/>
      <c r="M421" s="1120"/>
      <c r="N421" s="1120"/>
      <c r="O421" s="1120"/>
      <c r="P421" s="1120"/>
      <c r="Q421" s="1120"/>
      <c r="R421" s="1120"/>
      <c r="S421" s="1120"/>
      <c r="T421" s="1120"/>
      <c r="U421" s="1121"/>
      <c r="V421" s="11"/>
    </row>
    <row r="422" spans="1:22" ht="14.45" customHeight="1">
      <c r="A422" s="11"/>
      <c r="B422" s="11"/>
      <c r="C422" s="11"/>
      <c r="D422" s="11"/>
      <c r="E422" s="11"/>
      <c r="F422" s="96"/>
      <c r="G422" s="11"/>
      <c r="U422" s="15"/>
    </row>
    <row r="423" spans="1:22" ht="14.45" customHeight="1">
      <c r="A423" s="55" t="s">
        <v>1168</v>
      </c>
      <c r="B423" s="55" t="s">
        <v>1261</v>
      </c>
      <c r="C423" s="11">
        <v>1</v>
      </c>
      <c r="D423" s="55" t="s">
        <v>1328</v>
      </c>
      <c r="E423" s="11"/>
      <c r="F423" s="97">
        <f>U423</f>
        <v>57077</v>
      </c>
      <c r="G423" s="98">
        <f>노임!$F$3</f>
        <v>273971</v>
      </c>
      <c r="H423" s="28" t="s">
        <v>683</v>
      </c>
      <c r="I423" s="28">
        <v>1</v>
      </c>
      <c r="J423" s="28" t="s">
        <v>682</v>
      </c>
      <c r="K423" s="28">
        <v>8</v>
      </c>
      <c r="L423" s="28" t="s">
        <v>683</v>
      </c>
      <c r="M423" s="28">
        <v>25</v>
      </c>
      <c r="N423" s="28" t="s">
        <v>682</v>
      </c>
      <c r="O423" s="28">
        <v>20</v>
      </c>
      <c r="P423" s="28" t="s">
        <v>683</v>
      </c>
      <c r="Q423" s="28">
        <v>16</v>
      </c>
      <c r="R423" s="28" t="s">
        <v>682</v>
      </c>
      <c r="S423" s="28">
        <v>12</v>
      </c>
      <c r="T423" s="28" t="s">
        <v>1167</v>
      </c>
      <c r="U423" s="99">
        <f>INT(G423*I423/K423*M423/O423*Q423/S423)</f>
        <v>57077</v>
      </c>
    </row>
    <row r="424" spans="1:22" ht="14.45" customHeight="1">
      <c r="A424" s="11"/>
      <c r="B424" s="11"/>
      <c r="C424" s="11"/>
      <c r="D424" s="11"/>
      <c r="E424" s="11"/>
      <c r="F424" s="96"/>
      <c r="G424" s="11"/>
      <c r="O424" s="16"/>
      <c r="U424" s="100"/>
    </row>
    <row r="425" spans="1:22" ht="14.45" customHeight="1">
      <c r="A425" s="11"/>
      <c r="B425" s="11"/>
      <c r="C425" s="11"/>
      <c r="D425" s="11"/>
      <c r="E425" s="11"/>
      <c r="F425" s="97"/>
      <c r="G425" s="11"/>
      <c r="U425" s="99"/>
    </row>
    <row r="426" spans="1:22" ht="14.45" customHeight="1">
      <c r="A426" s="11"/>
      <c r="B426" s="11"/>
      <c r="C426" s="11"/>
      <c r="D426" s="11"/>
      <c r="E426" s="11"/>
      <c r="F426" s="96"/>
      <c r="G426" s="11"/>
      <c r="U426" s="100"/>
    </row>
    <row r="427" spans="1:22" ht="14.45" customHeight="1">
      <c r="A427" s="11"/>
      <c r="B427" s="11"/>
      <c r="C427" s="11"/>
      <c r="D427" s="11"/>
      <c r="E427" s="11"/>
      <c r="F427" s="97"/>
      <c r="G427" s="11"/>
      <c r="U427" s="99"/>
    </row>
    <row r="428" spans="1:22" ht="14.45" customHeight="1">
      <c r="A428" s="11"/>
      <c r="B428" s="11"/>
      <c r="C428" s="11"/>
      <c r="D428" s="11"/>
      <c r="E428" s="11"/>
      <c r="F428" s="96"/>
      <c r="G428" s="11"/>
      <c r="U428" s="15"/>
    </row>
    <row r="429" spans="1:22" ht="14.45" customHeight="1">
      <c r="A429" s="20"/>
      <c r="B429" s="59" t="s">
        <v>1020</v>
      </c>
      <c r="C429" s="20"/>
      <c r="D429" s="20"/>
      <c r="E429" s="20"/>
      <c r="F429" s="103">
        <f>INT(F427+F425+F423)</f>
        <v>57077</v>
      </c>
      <c r="G429" s="20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2"/>
    </row>
    <row r="430" spans="1:22" ht="14.45" customHeight="1">
      <c r="A430" s="11"/>
      <c r="B430" s="11"/>
      <c r="C430" s="11"/>
      <c r="D430" s="11"/>
      <c r="E430" s="11"/>
      <c r="F430" s="96"/>
      <c r="G430" s="11"/>
      <c r="U430" s="15"/>
    </row>
    <row r="431" spans="1:22" ht="14.45" customHeight="1">
      <c r="A431" s="55" t="s">
        <v>1169</v>
      </c>
      <c r="B431" s="55" t="s">
        <v>1146</v>
      </c>
      <c r="C431" s="11">
        <v>15.9</v>
      </c>
      <c r="D431" s="55" t="s">
        <v>636</v>
      </c>
      <c r="E431" s="101">
        <f>자재!$F$19</f>
        <v>1528.38</v>
      </c>
      <c r="F431" s="97">
        <f>ROUNDDOWN(E431*C431,1)</f>
        <v>24301.200000000001</v>
      </c>
      <c r="G431" s="11"/>
      <c r="U431" s="15"/>
    </row>
    <row r="432" spans="1:22" ht="14.45" customHeight="1">
      <c r="A432" s="11"/>
      <c r="B432" s="11"/>
      <c r="C432" s="11"/>
      <c r="D432" s="11"/>
      <c r="E432" s="11"/>
      <c r="F432" s="11"/>
      <c r="G432" s="11"/>
      <c r="U432" s="15"/>
    </row>
    <row r="433" spans="1:21" ht="14.45" customHeight="1">
      <c r="A433" s="11"/>
      <c r="B433" s="55" t="s">
        <v>216</v>
      </c>
      <c r="C433" s="11">
        <v>0.38</v>
      </c>
      <c r="D433" s="11"/>
      <c r="E433" s="101">
        <f>F431</f>
        <v>24301.200000000001</v>
      </c>
      <c r="F433" s="97">
        <f>ROUNDDOWN(E433*C433,1)</f>
        <v>9234.4</v>
      </c>
      <c r="G433" s="11"/>
      <c r="U433" s="15"/>
    </row>
    <row r="434" spans="1:21" ht="14.45" customHeight="1">
      <c r="A434" s="11"/>
      <c r="B434" s="11"/>
      <c r="C434" s="11"/>
      <c r="D434" s="11"/>
      <c r="E434" s="11"/>
      <c r="F434" s="96"/>
      <c r="G434" s="11"/>
      <c r="U434" s="15"/>
    </row>
    <row r="435" spans="1:21" ht="14.45" customHeight="1">
      <c r="A435" s="11"/>
      <c r="B435" s="11"/>
      <c r="C435" s="11"/>
      <c r="D435" s="11"/>
      <c r="E435" s="11"/>
      <c r="F435" s="96"/>
      <c r="G435" s="11"/>
      <c r="U435" s="15"/>
    </row>
    <row r="436" spans="1:21" ht="14.45" customHeight="1">
      <c r="A436" s="11"/>
      <c r="B436" s="11"/>
      <c r="C436" s="11"/>
      <c r="D436" s="11"/>
      <c r="E436" s="11"/>
      <c r="F436" s="96"/>
      <c r="G436" s="11"/>
      <c r="U436" s="15"/>
    </row>
    <row r="437" spans="1:21" ht="14.45" customHeight="1">
      <c r="A437" s="11"/>
      <c r="B437" s="11"/>
      <c r="C437" s="11"/>
      <c r="D437" s="11"/>
      <c r="E437" s="11"/>
      <c r="F437" s="96"/>
      <c r="G437" s="11"/>
      <c r="U437" s="15"/>
    </row>
    <row r="438" spans="1:21" ht="14.45" customHeight="1">
      <c r="A438" s="11"/>
      <c r="B438" s="11"/>
      <c r="C438" s="11"/>
      <c r="D438" s="11"/>
      <c r="E438" s="11"/>
      <c r="F438" s="96"/>
      <c r="G438" s="11"/>
      <c r="U438" s="15"/>
    </row>
    <row r="439" spans="1:21" ht="14.45" customHeight="1">
      <c r="A439" s="20"/>
      <c r="B439" s="59" t="s">
        <v>1020</v>
      </c>
      <c r="C439" s="20"/>
      <c r="D439" s="20"/>
      <c r="E439" s="20"/>
      <c r="F439" s="103">
        <f>INT(F437+F435+F433+F431)</f>
        <v>33535</v>
      </c>
      <c r="G439" s="20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2"/>
    </row>
    <row r="440" spans="1:21" ht="14.45" customHeight="1">
      <c r="A440" s="11"/>
      <c r="B440" s="11"/>
      <c r="C440" s="11"/>
      <c r="D440" s="11"/>
      <c r="E440" s="11"/>
      <c r="F440" s="96"/>
      <c r="G440" s="11"/>
      <c r="U440" s="15"/>
    </row>
    <row r="441" spans="1:21" ht="14.45" customHeight="1">
      <c r="A441" s="55" t="s">
        <v>1170</v>
      </c>
      <c r="B441" s="55" t="s">
        <v>1147</v>
      </c>
      <c r="C441" s="11"/>
      <c r="D441" s="11"/>
      <c r="E441" s="11"/>
      <c r="F441" s="105">
        <f>INT(H441*M441*O441)</f>
        <v>18567</v>
      </c>
      <c r="G441" s="11"/>
      <c r="H441" s="1126">
        <v>81472000</v>
      </c>
      <c r="I441" s="1126"/>
      <c r="J441" s="1126"/>
      <c r="K441" s="1126"/>
      <c r="L441" s="28" t="s">
        <v>921</v>
      </c>
      <c r="M441" s="106">
        <v>2279</v>
      </c>
      <c r="N441" s="10" t="s">
        <v>921</v>
      </c>
      <c r="O441" s="1017">
        <v>9.9999999999999995E-8</v>
      </c>
      <c r="P441" s="1017"/>
      <c r="Q441" s="1017"/>
      <c r="R441" s="1017"/>
      <c r="U441" s="15"/>
    </row>
    <row r="442" spans="1:21" ht="14.45" customHeight="1">
      <c r="A442" s="11"/>
      <c r="B442" s="11"/>
      <c r="C442" s="11"/>
      <c r="D442" s="11"/>
      <c r="E442" s="11"/>
      <c r="F442" s="96"/>
      <c r="G442" s="11"/>
      <c r="U442" s="15"/>
    </row>
    <row r="443" spans="1:21" ht="14.45" customHeight="1">
      <c r="A443" s="11"/>
      <c r="B443" s="11"/>
      <c r="C443" s="11"/>
      <c r="D443" s="11"/>
      <c r="E443" s="11"/>
      <c r="F443" s="96"/>
      <c r="G443" s="11"/>
      <c r="U443" s="15"/>
    </row>
    <row r="444" spans="1:21" ht="14.45" customHeight="1">
      <c r="A444" s="11"/>
      <c r="B444" s="11"/>
      <c r="C444" s="11"/>
      <c r="D444" s="11"/>
      <c r="E444" s="11"/>
      <c r="F444" s="96"/>
      <c r="G444" s="11"/>
      <c r="U444" s="15"/>
    </row>
    <row r="445" spans="1:21" ht="14.45" customHeight="1">
      <c r="A445" s="11"/>
      <c r="B445" s="11"/>
      <c r="C445" s="11"/>
      <c r="D445" s="11"/>
      <c r="E445" s="11"/>
      <c r="F445" s="96"/>
      <c r="G445" s="11"/>
      <c r="U445" s="15"/>
    </row>
    <row r="446" spans="1:21" ht="14.45" customHeight="1">
      <c r="A446" s="11"/>
      <c r="B446" s="11"/>
      <c r="C446" s="11"/>
      <c r="D446" s="11"/>
      <c r="E446" s="11"/>
      <c r="F446" s="96"/>
      <c r="G446" s="11"/>
      <c r="U446" s="15"/>
    </row>
    <row r="447" spans="1:21" ht="14.45" customHeight="1">
      <c r="A447" s="11"/>
      <c r="B447" s="11"/>
      <c r="C447" s="11"/>
      <c r="D447" s="11"/>
      <c r="E447" s="11"/>
      <c r="F447" s="96"/>
      <c r="G447" s="11"/>
      <c r="U447" s="15"/>
    </row>
    <row r="448" spans="1:21" ht="14.45" customHeight="1">
      <c r="A448" s="20"/>
      <c r="B448" s="20"/>
      <c r="C448" s="20"/>
      <c r="D448" s="20"/>
      <c r="E448" s="20"/>
      <c r="F448" s="102"/>
      <c r="G448" s="20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2"/>
    </row>
    <row r="449" spans="1:22" ht="14.45" customHeight="1">
      <c r="A449" s="11"/>
      <c r="B449" s="11"/>
      <c r="C449" s="11"/>
      <c r="D449" s="11"/>
      <c r="E449" s="11"/>
      <c r="F449" s="96"/>
      <c r="G449" s="11"/>
      <c r="U449" s="15"/>
    </row>
    <row r="450" spans="1:22" ht="14.45" customHeight="1">
      <c r="A450" s="59" t="s">
        <v>1156</v>
      </c>
      <c r="B450" s="20"/>
      <c r="C450" s="20"/>
      <c r="D450" s="20"/>
      <c r="E450" s="20"/>
      <c r="F450" s="103">
        <f>F439+F441+F429</f>
        <v>109179</v>
      </c>
      <c r="G450" s="20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2"/>
    </row>
    <row r="451" spans="1:22" ht="14.45" customHeight="1">
      <c r="A451" s="90" t="s">
        <v>2004</v>
      </c>
      <c r="B451" s="6"/>
      <c r="F451" s="80"/>
    </row>
    <row r="452" spans="1:22" ht="14.45" customHeight="1">
      <c r="A452" s="21"/>
      <c r="B452" s="21"/>
      <c r="C452" s="21"/>
      <c r="D452" s="21"/>
      <c r="E452" s="21"/>
      <c r="F452" s="107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</row>
    <row r="453" spans="1:22" ht="25.5" customHeight="1">
      <c r="A453" s="2" t="s">
        <v>1009</v>
      </c>
      <c r="B453" s="2" t="s">
        <v>1010</v>
      </c>
      <c r="C453" s="2" t="s">
        <v>1217</v>
      </c>
      <c r="D453" s="2" t="s">
        <v>1011</v>
      </c>
      <c r="E453" s="2" t="s">
        <v>207</v>
      </c>
      <c r="F453" s="2" t="s">
        <v>54</v>
      </c>
      <c r="G453" s="1119" t="s">
        <v>1766</v>
      </c>
      <c r="H453" s="1120"/>
      <c r="I453" s="1120"/>
      <c r="J453" s="1120"/>
      <c r="K453" s="1120"/>
      <c r="L453" s="1120"/>
      <c r="M453" s="1120"/>
      <c r="N453" s="1120"/>
      <c r="O453" s="1120"/>
      <c r="P453" s="1120"/>
      <c r="Q453" s="1120"/>
      <c r="R453" s="1120"/>
      <c r="S453" s="1120"/>
      <c r="T453" s="1120"/>
      <c r="U453" s="1121"/>
      <c r="V453" s="11"/>
    </row>
    <row r="454" spans="1:22" ht="14.45" customHeight="1">
      <c r="A454" s="11"/>
      <c r="B454" s="11"/>
      <c r="C454" s="11"/>
      <c r="D454" s="11"/>
      <c r="E454" s="11"/>
      <c r="F454" s="96"/>
      <c r="G454" s="11"/>
      <c r="U454" s="15"/>
    </row>
    <row r="455" spans="1:22" ht="14.45" customHeight="1">
      <c r="A455" s="55" t="s">
        <v>1168</v>
      </c>
      <c r="B455" s="55" t="s">
        <v>1261</v>
      </c>
      <c r="C455" s="11">
        <v>1</v>
      </c>
      <c r="D455" s="55" t="s">
        <v>1328</v>
      </c>
      <c r="E455" s="11"/>
      <c r="F455" s="97">
        <f>U455</f>
        <v>57077</v>
      </c>
      <c r="G455" s="98">
        <f>노임!$F$3</f>
        <v>273971</v>
      </c>
      <c r="H455" s="28" t="s">
        <v>683</v>
      </c>
      <c r="I455" s="28">
        <v>1</v>
      </c>
      <c r="J455" s="28" t="s">
        <v>682</v>
      </c>
      <c r="K455" s="28">
        <v>8</v>
      </c>
      <c r="L455" s="28" t="s">
        <v>683</v>
      </c>
      <c r="M455" s="28">
        <v>25</v>
      </c>
      <c r="N455" s="28" t="s">
        <v>682</v>
      </c>
      <c r="O455" s="28">
        <v>20</v>
      </c>
      <c r="P455" s="28" t="s">
        <v>683</v>
      </c>
      <c r="Q455" s="28">
        <v>16</v>
      </c>
      <c r="R455" s="28" t="s">
        <v>682</v>
      </c>
      <c r="S455" s="28">
        <v>12</v>
      </c>
      <c r="T455" s="28" t="s">
        <v>1167</v>
      </c>
      <c r="U455" s="99">
        <f>INT(G455*I455/K455*M455/O455*Q455/S455)</f>
        <v>57077</v>
      </c>
    </row>
    <row r="456" spans="1:22" ht="14.45" customHeight="1">
      <c r="A456" s="11"/>
      <c r="B456" s="11"/>
      <c r="C456" s="11"/>
      <c r="D456" s="11"/>
      <c r="E456" s="11"/>
      <c r="F456" s="96"/>
      <c r="G456" s="11"/>
      <c r="O456" s="16"/>
      <c r="U456" s="100"/>
    </row>
    <row r="457" spans="1:22" ht="14.45" customHeight="1">
      <c r="A457" s="11"/>
      <c r="B457" s="11"/>
      <c r="C457" s="11"/>
      <c r="D457" s="11"/>
      <c r="E457" s="11"/>
      <c r="F457" s="97"/>
      <c r="G457" s="11"/>
      <c r="U457" s="99"/>
    </row>
    <row r="458" spans="1:22" ht="14.45" customHeight="1">
      <c r="A458" s="11"/>
      <c r="B458" s="11"/>
      <c r="C458" s="11"/>
      <c r="D458" s="11"/>
      <c r="E458" s="11"/>
      <c r="F458" s="96"/>
      <c r="G458" s="11"/>
      <c r="U458" s="100"/>
    </row>
    <row r="459" spans="1:22" ht="14.45" customHeight="1">
      <c r="A459" s="11"/>
      <c r="B459" s="11"/>
      <c r="C459" s="11"/>
      <c r="D459" s="11"/>
      <c r="E459" s="11"/>
      <c r="F459" s="97"/>
      <c r="G459" s="11"/>
      <c r="U459" s="99"/>
    </row>
    <row r="460" spans="1:22" ht="14.45" customHeight="1">
      <c r="A460" s="11"/>
      <c r="B460" s="11"/>
      <c r="C460" s="11"/>
      <c r="D460" s="11"/>
      <c r="E460" s="11"/>
      <c r="F460" s="96"/>
      <c r="G460" s="11"/>
      <c r="U460" s="15"/>
    </row>
    <row r="461" spans="1:22" ht="14.45" customHeight="1">
      <c r="A461" s="20"/>
      <c r="B461" s="59" t="s">
        <v>1020</v>
      </c>
      <c r="C461" s="20"/>
      <c r="D461" s="20"/>
      <c r="E461" s="20"/>
      <c r="F461" s="103">
        <f>INT(F459+F457+F455)</f>
        <v>57077</v>
      </c>
      <c r="G461" s="20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2"/>
    </row>
    <row r="462" spans="1:22" ht="14.45" customHeight="1">
      <c r="A462" s="11"/>
      <c r="B462" s="11"/>
      <c r="C462" s="11"/>
      <c r="D462" s="11"/>
      <c r="E462" s="11"/>
      <c r="F462" s="96"/>
      <c r="G462" s="11"/>
      <c r="U462" s="15"/>
    </row>
    <row r="463" spans="1:22" ht="14.45" customHeight="1">
      <c r="A463" s="55" t="s">
        <v>1169</v>
      </c>
      <c r="B463" s="55" t="s">
        <v>1146</v>
      </c>
      <c r="C463" s="11">
        <v>23</v>
      </c>
      <c r="D463" s="55" t="s">
        <v>636</v>
      </c>
      <c r="E463" s="101">
        <f>자재!$F$19</f>
        <v>1528.38</v>
      </c>
      <c r="F463" s="97">
        <f>ROUNDDOWN(E463*C463,1)</f>
        <v>35152.699999999997</v>
      </c>
      <c r="G463" s="11"/>
      <c r="U463" s="15"/>
    </row>
    <row r="464" spans="1:22" ht="14.45" customHeight="1">
      <c r="A464" s="11"/>
      <c r="B464" s="11"/>
      <c r="C464" s="11"/>
      <c r="D464" s="11"/>
      <c r="E464" s="11"/>
      <c r="F464" s="11"/>
      <c r="G464" s="11"/>
      <c r="U464" s="15"/>
    </row>
    <row r="465" spans="1:21" ht="14.45" customHeight="1">
      <c r="A465" s="11"/>
      <c r="B465" s="55" t="s">
        <v>216</v>
      </c>
      <c r="C465" s="11">
        <v>0.38</v>
      </c>
      <c r="D465" s="11"/>
      <c r="E465" s="101">
        <f>F463</f>
        <v>35152.699999999997</v>
      </c>
      <c r="F465" s="97">
        <f>ROUNDDOWN(E465*C465,1)</f>
        <v>13358</v>
      </c>
      <c r="G465" s="11"/>
      <c r="U465" s="15"/>
    </row>
    <row r="466" spans="1:21" ht="14.45" customHeight="1">
      <c r="A466" s="11"/>
      <c r="B466" s="11"/>
      <c r="C466" s="11"/>
      <c r="D466" s="11"/>
      <c r="E466" s="11"/>
      <c r="F466" s="96"/>
      <c r="G466" s="11"/>
      <c r="U466" s="15"/>
    </row>
    <row r="467" spans="1:21" ht="14.45" customHeight="1">
      <c r="A467" s="11"/>
      <c r="B467" s="11"/>
      <c r="C467" s="11"/>
      <c r="D467" s="11"/>
      <c r="E467" s="11"/>
      <c r="F467" s="96"/>
      <c r="G467" s="11"/>
      <c r="U467" s="15"/>
    </row>
    <row r="468" spans="1:21" ht="14.45" customHeight="1">
      <c r="A468" s="11"/>
      <c r="B468" s="11"/>
      <c r="C468" s="11"/>
      <c r="D468" s="11"/>
      <c r="E468" s="11"/>
      <c r="F468" s="96"/>
      <c r="G468" s="11"/>
      <c r="U468" s="15"/>
    </row>
    <row r="469" spans="1:21" ht="14.45" customHeight="1">
      <c r="A469" s="11"/>
      <c r="B469" s="11"/>
      <c r="C469" s="11"/>
      <c r="D469" s="11"/>
      <c r="E469" s="11"/>
      <c r="F469" s="96"/>
      <c r="G469" s="11"/>
      <c r="U469" s="15"/>
    </row>
    <row r="470" spans="1:21" ht="14.45" customHeight="1">
      <c r="A470" s="11"/>
      <c r="B470" s="11"/>
      <c r="C470" s="11"/>
      <c r="D470" s="11"/>
      <c r="E470" s="11"/>
      <c r="F470" s="96"/>
      <c r="G470" s="11"/>
      <c r="U470" s="15"/>
    </row>
    <row r="471" spans="1:21" ht="14.45" customHeight="1">
      <c r="A471" s="20"/>
      <c r="B471" s="59" t="s">
        <v>1020</v>
      </c>
      <c r="C471" s="20"/>
      <c r="D471" s="20"/>
      <c r="E471" s="20"/>
      <c r="F471" s="103">
        <f>INT(F469+F467+F465+F463)</f>
        <v>48510</v>
      </c>
      <c r="G471" s="20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2"/>
    </row>
    <row r="472" spans="1:21" ht="14.45" customHeight="1">
      <c r="A472" s="11"/>
      <c r="B472" s="11"/>
      <c r="C472" s="11"/>
      <c r="D472" s="11"/>
      <c r="E472" s="11"/>
      <c r="F472" s="96"/>
      <c r="G472" s="11"/>
      <c r="U472" s="15"/>
    </row>
    <row r="473" spans="1:21" ht="14.45" customHeight="1">
      <c r="A473" s="55" t="s">
        <v>1170</v>
      </c>
      <c r="B473" s="55" t="s">
        <v>1147</v>
      </c>
      <c r="C473" s="11"/>
      <c r="D473" s="11"/>
      <c r="E473" s="11"/>
      <c r="F473" s="105">
        <f>INT(H473*M473*O473)</f>
        <v>29465</v>
      </c>
      <c r="G473" s="11"/>
      <c r="H473" s="1126">
        <v>132193000</v>
      </c>
      <c r="I473" s="1126"/>
      <c r="J473" s="1126"/>
      <c r="K473" s="1126"/>
      <c r="L473" s="28" t="s">
        <v>165</v>
      </c>
      <c r="M473" s="106">
        <v>2229</v>
      </c>
      <c r="N473" s="10" t="s">
        <v>165</v>
      </c>
      <c r="O473" s="1017">
        <v>9.9999999999999995E-8</v>
      </c>
      <c r="P473" s="1017"/>
      <c r="Q473" s="1017"/>
      <c r="R473" s="1017"/>
      <c r="U473" s="15"/>
    </row>
    <row r="474" spans="1:21" ht="14.45" customHeight="1">
      <c r="A474" s="11"/>
      <c r="B474" s="11"/>
      <c r="C474" s="11"/>
      <c r="D474" s="11"/>
      <c r="E474" s="11"/>
      <c r="F474" s="96"/>
      <c r="G474" s="11"/>
      <c r="U474" s="15"/>
    </row>
    <row r="475" spans="1:21" ht="14.45" customHeight="1">
      <c r="A475" s="11"/>
      <c r="B475" s="11"/>
      <c r="C475" s="11"/>
      <c r="D475" s="11"/>
      <c r="E475" s="11"/>
      <c r="F475" s="96"/>
      <c r="G475" s="11"/>
      <c r="U475" s="15"/>
    </row>
    <row r="476" spans="1:21" ht="14.45" customHeight="1">
      <c r="A476" s="11"/>
      <c r="B476" s="11"/>
      <c r="C476" s="11"/>
      <c r="D476" s="11"/>
      <c r="E476" s="11"/>
      <c r="F476" s="96"/>
      <c r="G476" s="11"/>
      <c r="U476" s="15"/>
    </row>
    <row r="477" spans="1:21" ht="14.45" customHeight="1">
      <c r="A477" s="11"/>
      <c r="B477" s="11"/>
      <c r="C477" s="11"/>
      <c r="D477" s="11"/>
      <c r="E477" s="11"/>
      <c r="F477" s="96"/>
      <c r="G477" s="11"/>
      <c r="U477" s="15"/>
    </row>
    <row r="478" spans="1:21" ht="14.45" customHeight="1">
      <c r="A478" s="11"/>
      <c r="B478" s="11"/>
      <c r="C478" s="11"/>
      <c r="D478" s="11"/>
      <c r="E478" s="11"/>
      <c r="F478" s="96"/>
      <c r="G478" s="11"/>
      <c r="U478" s="15"/>
    </row>
    <row r="479" spans="1:21" ht="14.45" customHeight="1">
      <c r="A479" s="11"/>
      <c r="B479" s="11"/>
      <c r="C479" s="11"/>
      <c r="D479" s="11"/>
      <c r="E479" s="11"/>
      <c r="F479" s="96"/>
      <c r="G479" s="11"/>
      <c r="U479" s="15"/>
    </row>
    <row r="480" spans="1:21" ht="14.45" customHeight="1">
      <c r="A480" s="20"/>
      <c r="B480" s="20"/>
      <c r="C480" s="20"/>
      <c r="D480" s="20"/>
      <c r="E480" s="20"/>
      <c r="F480" s="102"/>
      <c r="G480" s="20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2"/>
    </row>
    <row r="481" spans="1:22" ht="14.45" customHeight="1">
      <c r="A481" s="11"/>
      <c r="B481" s="11"/>
      <c r="C481" s="11"/>
      <c r="D481" s="11"/>
      <c r="E481" s="11"/>
      <c r="F481" s="96"/>
      <c r="G481" s="11"/>
      <c r="U481" s="15"/>
    </row>
    <row r="482" spans="1:22" ht="14.45" customHeight="1">
      <c r="A482" s="59" t="s">
        <v>1156</v>
      </c>
      <c r="B482" s="20"/>
      <c r="C482" s="20"/>
      <c r="D482" s="20"/>
      <c r="E482" s="20"/>
      <c r="F482" s="103">
        <f>F471+F473+F461</f>
        <v>135052</v>
      </c>
      <c r="G482" s="20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2"/>
    </row>
    <row r="483" spans="1:22" ht="14.45" customHeight="1">
      <c r="A483" s="90" t="s">
        <v>966</v>
      </c>
      <c r="B483" s="6"/>
      <c r="C483" s="6"/>
      <c r="F483" s="80"/>
    </row>
    <row r="484" spans="1:22" ht="14.45" customHeight="1">
      <c r="A484" s="21"/>
      <c r="B484" s="21"/>
      <c r="C484" s="21"/>
      <c r="D484" s="21"/>
      <c r="E484" s="21"/>
      <c r="F484" s="107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</row>
    <row r="485" spans="1:22" ht="25.5" customHeight="1">
      <c r="A485" s="2" t="s">
        <v>1009</v>
      </c>
      <c r="B485" s="2" t="s">
        <v>1010</v>
      </c>
      <c r="C485" s="2" t="s">
        <v>1217</v>
      </c>
      <c r="D485" s="2" t="s">
        <v>1011</v>
      </c>
      <c r="E485" s="2" t="s">
        <v>207</v>
      </c>
      <c r="F485" s="2" t="s">
        <v>54</v>
      </c>
      <c r="G485" s="1119" t="s">
        <v>1766</v>
      </c>
      <c r="H485" s="1120"/>
      <c r="I485" s="1120"/>
      <c r="J485" s="1120"/>
      <c r="K485" s="1120"/>
      <c r="L485" s="1120"/>
      <c r="M485" s="1120"/>
      <c r="N485" s="1120"/>
      <c r="O485" s="1120"/>
      <c r="P485" s="1120"/>
      <c r="Q485" s="1120"/>
      <c r="R485" s="1120"/>
      <c r="S485" s="1120"/>
      <c r="T485" s="1120"/>
      <c r="U485" s="1121"/>
      <c r="V485" s="11"/>
    </row>
    <row r="486" spans="1:22" ht="14.45" customHeight="1">
      <c r="A486" s="11"/>
      <c r="B486" s="11"/>
      <c r="C486" s="11"/>
      <c r="D486" s="11"/>
      <c r="E486" s="11"/>
      <c r="F486" s="96"/>
      <c r="G486" s="11"/>
      <c r="U486" s="15"/>
      <c r="V486" s="11"/>
    </row>
    <row r="487" spans="1:22" ht="14.45" customHeight="1">
      <c r="A487" s="55" t="s">
        <v>1168</v>
      </c>
      <c r="B487" s="55" t="s">
        <v>1261</v>
      </c>
      <c r="C487" s="11">
        <v>1</v>
      </c>
      <c r="D487" s="55" t="s">
        <v>1328</v>
      </c>
      <c r="E487" s="111">
        <f>U487</f>
        <v>57077</v>
      </c>
      <c r="F487" s="97">
        <f>U487</f>
        <v>57077</v>
      </c>
      <c r="G487" s="101">
        <f>노임!$F$3</f>
        <v>273971</v>
      </c>
      <c r="H487" s="28" t="s">
        <v>683</v>
      </c>
      <c r="I487" s="28">
        <v>1</v>
      </c>
      <c r="J487" s="28" t="s">
        <v>682</v>
      </c>
      <c r="K487" s="28">
        <v>8</v>
      </c>
      <c r="L487" s="28" t="s">
        <v>683</v>
      </c>
      <c r="M487" s="28">
        <v>25</v>
      </c>
      <c r="N487" s="28" t="s">
        <v>682</v>
      </c>
      <c r="O487" s="28">
        <v>20</v>
      </c>
      <c r="P487" s="28" t="s">
        <v>683</v>
      </c>
      <c r="Q487" s="28">
        <v>16</v>
      </c>
      <c r="R487" s="28" t="s">
        <v>682</v>
      </c>
      <c r="S487" s="28">
        <v>12</v>
      </c>
      <c r="T487" s="28" t="s">
        <v>1167</v>
      </c>
      <c r="U487" s="99">
        <f>INT(G487*I487/K487*M487/O487*Q487/S487)</f>
        <v>57077</v>
      </c>
      <c r="V487" s="11"/>
    </row>
    <row r="488" spans="1:22" ht="14.45" customHeight="1">
      <c r="A488" s="11"/>
      <c r="B488" s="11"/>
      <c r="C488" s="11"/>
      <c r="D488" s="11"/>
      <c r="E488" s="11"/>
      <c r="F488" s="96"/>
      <c r="G488" s="96"/>
      <c r="O488" s="16"/>
      <c r="U488" s="100"/>
      <c r="V488" s="11"/>
    </row>
    <row r="489" spans="1:22" ht="14.45" customHeight="1">
      <c r="A489" s="11"/>
      <c r="B489" s="55" t="s">
        <v>1263</v>
      </c>
      <c r="C489" s="11"/>
      <c r="D489" s="55" t="s">
        <v>1023</v>
      </c>
      <c r="E489" s="101"/>
      <c r="F489" s="97">
        <f>TRUNC((C489*E489),1)</f>
        <v>0</v>
      </c>
      <c r="G489" s="101"/>
      <c r="H489" s="28" t="s">
        <v>683</v>
      </c>
      <c r="I489" s="28">
        <v>1</v>
      </c>
      <c r="J489" s="28" t="s">
        <v>682</v>
      </c>
      <c r="K489" s="28">
        <v>8</v>
      </c>
      <c r="L489" s="28" t="s">
        <v>683</v>
      </c>
      <c r="M489" s="28">
        <v>25</v>
      </c>
      <c r="N489" s="28" t="s">
        <v>682</v>
      </c>
      <c r="O489" s="28">
        <v>20</v>
      </c>
      <c r="P489" s="28" t="s">
        <v>683</v>
      </c>
      <c r="Q489" s="28">
        <v>16</v>
      </c>
      <c r="R489" s="28" t="s">
        <v>682</v>
      </c>
      <c r="S489" s="28">
        <v>12</v>
      </c>
      <c r="T489" s="28" t="s">
        <v>1167</v>
      </c>
      <c r="U489" s="99">
        <f>INT(G489*I489/K489*M489/O489*Q489/S489)</f>
        <v>0</v>
      </c>
      <c r="V489" s="11"/>
    </row>
    <row r="490" spans="1:22" ht="14.45" customHeight="1">
      <c r="A490" s="11"/>
      <c r="B490" s="11"/>
      <c r="C490" s="11"/>
      <c r="D490" s="11"/>
      <c r="E490" s="11"/>
      <c r="F490" s="96"/>
      <c r="G490" s="11"/>
      <c r="O490" s="16"/>
      <c r="U490" s="100"/>
      <c r="V490" s="11"/>
    </row>
    <row r="491" spans="1:22" ht="14.45" customHeight="1">
      <c r="A491" s="11"/>
      <c r="B491" s="11"/>
      <c r="C491" s="11"/>
      <c r="D491" s="11"/>
      <c r="E491" s="11"/>
      <c r="F491" s="97">
        <f>TRUNC((C491*E491),1)</f>
        <v>0</v>
      </c>
      <c r="G491" s="11"/>
      <c r="U491" s="99"/>
      <c r="V491" s="11"/>
    </row>
    <row r="492" spans="1:22" ht="14.45" customHeight="1">
      <c r="A492" s="11"/>
      <c r="B492" s="11"/>
      <c r="C492" s="11"/>
      <c r="D492" s="11"/>
      <c r="E492" s="11"/>
      <c r="F492" s="96"/>
      <c r="G492" s="11"/>
      <c r="U492" s="15"/>
      <c r="V492" s="11"/>
    </row>
    <row r="493" spans="1:22" ht="14.45" customHeight="1">
      <c r="A493" s="20"/>
      <c r="B493" s="59" t="s">
        <v>1020</v>
      </c>
      <c r="C493" s="20"/>
      <c r="D493" s="20"/>
      <c r="E493" s="20"/>
      <c r="F493" s="103">
        <f>INT(F489+F487)</f>
        <v>57077</v>
      </c>
      <c r="G493" s="20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2"/>
      <c r="V493" s="11"/>
    </row>
    <row r="494" spans="1:22" ht="14.45" customHeight="1">
      <c r="A494" s="11"/>
      <c r="B494" s="11"/>
      <c r="C494" s="11"/>
      <c r="D494" s="11"/>
      <c r="E494" s="11"/>
      <c r="F494" s="96"/>
      <c r="G494" s="11"/>
      <c r="U494" s="15"/>
      <c r="V494" s="11"/>
    </row>
    <row r="495" spans="1:22" ht="14.45" customHeight="1">
      <c r="A495" s="55" t="s">
        <v>1169</v>
      </c>
      <c r="B495" s="55" t="s">
        <v>1146</v>
      </c>
      <c r="C495" s="11">
        <v>14.4</v>
      </c>
      <c r="D495" s="55" t="s">
        <v>636</v>
      </c>
      <c r="E495" s="101">
        <f>자재!$F$19</f>
        <v>1528.38</v>
      </c>
      <c r="F495" s="97">
        <f>ROUNDDOWN(E495*C495,1)</f>
        <v>22008.6</v>
      </c>
      <c r="G495" s="11"/>
      <c r="U495" s="15"/>
      <c r="V495" s="11"/>
    </row>
    <row r="496" spans="1:22" ht="14.45" customHeight="1">
      <c r="A496" s="11"/>
      <c r="B496" s="11"/>
      <c r="C496" s="11"/>
      <c r="D496" s="11"/>
      <c r="E496" s="11"/>
      <c r="F496" s="11"/>
      <c r="G496" s="11"/>
      <c r="U496" s="15"/>
      <c r="V496" s="11"/>
    </row>
    <row r="497" spans="1:22" ht="14.45" customHeight="1">
      <c r="A497" s="11"/>
      <c r="B497" s="55" t="s">
        <v>218</v>
      </c>
      <c r="C497" s="11">
        <v>0.3</v>
      </c>
      <c r="D497" s="11"/>
      <c r="E497" s="101">
        <f>F495</f>
        <v>22008.6</v>
      </c>
      <c r="F497" s="97">
        <f>ROUNDDOWN(E497*C497,1)</f>
        <v>6602.5</v>
      </c>
      <c r="G497" s="11"/>
      <c r="U497" s="15"/>
      <c r="V497" s="11"/>
    </row>
    <row r="498" spans="1:22" ht="14.45" customHeight="1">
      <c r="A498" s="11"/>
      <c r="B498" s="11"/>
      <c r="C498" s="11"/>
      <c r="D498" s="11"/>
      <c r="E498" s="11"/>
      <c r="F498" s="96"/>
      <c r="G498" s="11"/>
      <c r="U498" s="15"/>
      <c r="V498" s="11"/>
    </row>
    <row r="499" spans="1:22" ht="14.45" customHeight="1">
      <c r="A499" s="11"/>
      <c r="B499" s="11"/>
      <c r="C499" s="11"/>
      <c r="D499" s="11"/>
      <c r="E499" s="11"/>
      <c r="F499" s="96"/>
      <c r="G499" s="11"/>
      <c r="U499" s="15"/>
      <c r="V499" s="11"/>
    </row>
    <row r="500" spans="1:22" ht="14.45" customHeight="1">
      <c r="A500" s="11"/>
      <c r="B500" s="11"/>
      <c r="C500" s="11"/>
      <c r="D500" s="11"/>
      <c r="E500" s="11"/>
      <c r="F500" s="96"/>
      <c r="G500" s="11"/>
      <c r="U500" s="15"/>
      <c r="V500" s="11"/>
    </row>
    <row r="501" spans="1:22" ht="14.45" customHeight="1">
      <c r="A501" s="11"/>
      <c r="B501" s="11"/>
      <c r="C501" s="11"/>
      <c r="D501" s="11"/>
      <c r="E501" s="11"/>
      <c r="F501" s="96"/>
      <c r="G501" s="11"/>
      <c r="U501" s="15"/>
      <c r="V501" s="11"/>
    </row>
    <row r="502" spans="1:22" ht="14.45" customHeight="1">
      <c r="A502" s="11"/>
      <c r="B502" s="11"/>
      <c r="C502" s="11"/>
      <c r="D502" s="11"/>
      <c r="E502" s="11"/>
      <c r="F502" s="96"/>
      <c r="G502" s="11"/>
      <c r="U502" s="15"/>
      <c r="V502" s="11"/>
    </row>
    <row r="503" spans="1:22" ht="14.45" customHeight="1">
      <c r="A503" s="20"/>
      <c r="B503" s="59" t="s">
        <v>1020</v>
      </c>
      <c r="C503" s="20"/>
      <c r="D503" s="20"/>
      <c r="E503" s="20"/>
      <c r="F503" s="103">
        <f>INT(F497+F495)</f>
        <v>28611</v>
      </c>
      <c r="G503" s="20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2"/>
      <c r="V503" s="11"/>
    </row>
    <row r="504" spans="1:22" ht="14.45" customHeight="1">
      <c r="A504" s="11"/>
      <c r="B504" s="11"/>
      <c r="C504" s="11"/>
      <c r="D504" s="11"/>
      <c r="E504" s="11"/>
      <c r="F504" s="96"/>
      <c r="G504" s="11"/>
      <c r="U504" s="15"/>
      <c r="V504" s="11"/>
    </row>
    <row r="505" spans="1:22" ht="14.45" customHeight="1">
      <c r="A505" s="55" t="s">
        <v>1170</v>
      </c>
      <c r="B505" s="55" t="s">
        <v>1147</v>
      </c>
      <c r="C505" s="11"/>
      <c r="D505" s="11"/>
      <c r="E505" s="11"/>
      <c r="F505" s="105">
        <f>INT(H505*M505*O505)</f>
        <v>23904</v>
      </c>
      <c r="G505" s="11"/>
      <c r="H505" s="1126">
        <v>84616000</v>
      </c>
      <c r="I505" s="1126"/>
      <c r="J505" s="1126"/>
      <c r="K505" s="1126"/>
      <c r="L505" s="28" t="s">
        <v>921</v>
      </c>
      <c r="M505" s="106">
        <v>2825</v>
      </c>
      <c r="N505" s="10" t="s">
        <v>921</v>
      </c>
      <c r="O505" s="1017">
        <v>9.9999999999999995E-8</v>
      </c>
      <c r="P505" s="1017"/>
      <c r="Q505" s="1017"/>
      <c r="R505" s="1017"/>
      <c r="U505" s="15"/>
      <c r="V505" s="11"/>
    </row>
    <row r="506" spans="1:22" ht="14.45" customHeight="1">
      <c r="A506" s="11"/>
      <c r="B506" s="11"/>
      <c r="C506" s="11"/>
      <c r="D506" s="11"/>
      <c r="E506" s="11"/>
      <c r="F506" s="96"/>
      <c r="G506" s="11"/>
      <c r="U506" s="15"/>
      <c r="V506" s="11"/>
    </row>
    <row r="507" spans="1:22" ht="14.45" customHeight="1">
      <c r="A507" s="11"/>
      <c r="B507" s="11"/>
      <c r="C507" s="11"/>
      <c r="D507" s="11"/>
      <c r="E507" s="11"/>
      <c r="F507" s="96"/>
      <c r="G507" s="11"/>
      <c r="U507" s="15"/>
      <c r="V507" s="11"/>
    </row>
    <row r="508" spans="1:22" ht="14.45" customHeight="1">
      <c r="A508" s="11"/>
      <c r="B508" s="11"/>
      <c r="C508" s="11"/>
      <c r="D508" s="11"/>
      <c r="E508" s="11"/>
      <c r="F508" s="96"/>
      <c r="G508" s="11"/>
      <c r="U508" s="15"/>
      <c r="V508" s="11"/>
    </row>
    <row r="509" spans="1:22" ht="14.45" customHeight="1">
      <c r="A509" s="11"/>
      <c r="B509" s="11"/>
      <c r="C509" s="11"/>
      <c r="D509" s="11"/>
      <c r="E509" s="11"/>
      <c r="F509" s="96"/>
      <c r="G509" s="11"/>
      <c r="U509" s="15"/>
      <c r="V509" s="11"/>
    </row>
    <row r="510" spans="1:22" ht="14.45" customHeight="1">
      <c r="A510" s="11"/>
      <c r="B510" s="11"/>
      <c r="C510" s="11"/>
      <c r="D510" s="11"/>
      <c r="E510" s="11"/>
      <c r="F510" s="96"/>
      <c r="G510" s="11"/>
      <c r="U510" s="15"/>
      <c r="V510" s="11"/>
    </row>
    <row r="511" spans="1:22" ht="14.45" customHeight="1">
      <c r="A511" s="11"/>
      <c r="B511" s="11"/>
      <c r="C511" s="11"/>
      <c r="D511" s="11"/>
      <c r="E511" s="11"/>
      <c r="F511" s="96"/>
      <c r="G511" s="11"/>
      <c r="U511" s="15"/>
      <c r="V511" s="11"/>
    </row>
    <row r="512" spans="1:22" ht="14.45" customHeight="1">
      <c r="A512" s="20"/>
      <c r="B512" s="20"/>
      <c r="C512" s="20"/>
      <c r="D512" s="20"/>
      <c r="E512" s="20"/>
      <c r="F512" s="102"/>
      <c r="G512" s="20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2"/>
      <c r="V512" s="11"/>
    </row>
    <row r="513" spans="1:22" ht="14.45" customHeight="1">
      <c r="A513" s="11"/>
      <c r="B513" s="11"/>
      <c r="C513" s="11"/>
      <c r="D513" s="11"/>
      <c r="E513" s="11"/>
      <c r="F513" s="96"/>
      <c r="G513" s="11"/>
      <c r="U513" s="15"/>
      <c r="V513" s="11"/>
    </row>
    <row r="514" spans="1:22" ht="14.45" customHeight="1">
      <c r="A514" s="59" t="s">
        <v>1156</v>
      </c>
      <c r="B514" s="20"/>
      <c r="C514" s="20"/>
      <c r="D514" s="20"/>
      <c r="E514" s="20"/>
      <c r="F514" s="103">
        <f>F493+F503+F505</f>
        <v>109592</v>
      </c>
      <c r="G514" s="20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2"/>
      <c r="V514" s="11"/>
    </row>
    <row r="515" spans="1:22" ht="14.45" customHeight="1">
      <c r="A515" s="1123" t="s">
        <v>967</v>
      </c>
      <c r="B515" s="1123"/>
      <c r="C515" s="1123"/>
      <c r="D515" s="6"/>
      <c r="E515" s="6"/>
      <c r="F515" s="80"/>
    </row>
    <row r="516" spans="1:22" ht="14.45" customHeight="1">
      <c r="A516" s="21"/>
      <c r="B516" s="21"/>
      <c r="C516" s="21"/>
      <c r="D516" s="21"/>
      <c r="E516" s="21"/>
      <c r="F516" s="107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</row>
    <row r="517" spans="1:22" ht="25.5" customHeight="1">
      <c r="A517" s="2" t="s">
        <v>1009</v>
      </c>
      <c r="B517" s="2" t="s">
        <v>1010</v>
      </c>
      <c r="C517" s="2" t="s">
        <v>1217</v>
      </c>
      <c r="D517" s="2" t="s">
        <v>1011</v>
      </c>
      <c r="E517" s="2" t="s">
        <v>207</v>
      </c>
      <c r="F517" s="2" t="s">
        <v>54</v>
      </c>
      <c r="G517" s="1119" t="s">
        <v>1766</v>
      </c>
      <c r="H517" s="1120"/>
      <c r="I517" s="1120"/>
      <c r="J517" s="1120"/>
      <c r="K517" s="1120"/>
      <c r="L517" s="1120"/>
      <c r="M517" s="1120"/>
      <c r="N517" s="1120"/>
      <c r="O517" s="1120"/>
      <c r="P517" s="1120"/>
      <c r="Q517" s="1120"/>
      <c r="R517" s="1120"/>
      <c r="S517" s="1120"/>
      <c r="T517" s="1120"/>
      <c r="U517" s="1121"/>
      <c r="V517" s="11"/>
    </row>
    <row r="518" spans="1:22" ht="14.45" customHeight="1">
      <c r="A518" s="11"/>
      <c r="B518" s="11"/>
      <c r="C518" s="11"/>
      <c r="D518" s="11"/>
      <c r="E518" s="11"/>
      <c r="F518" s="96"/>
      <c r="G518" s="11"/>
      <c r="U518" s="15"/>
    </row>
    <row r="519" spans="1:22" ht="14.45" customHeight="1">
      <c r="A519" s="55" t="s">
        <v>1168</v>
      </c>
      <c r="B519" s="55" t="s">
        <v>1261</v>
      </c>
      <c r="C519" s="11">
        <v>0</v>
      </c>
      <c r="D519" s="55" t="s">
        <v>1328</v>
      </c>
      <c r="E519" s="11"/>
      <c r="F519" s="97">
        <f>U519</f>
        <v>0</v>
      </c>
      <c r="G519" s="101">
        <f>노임!F395</f>
        <v>0</v>
      </c>
      <c r="H519" s="28" t="s">
        <v>683</v>
      </c>
      <c r="I519" s="28">
        <v>1</v>
      </c>
      <c r="J519" s="28" t="s">
        <v>682</v>
      </c>
      <c r="K519" s="28">
        <v>8</v>
      </c>
      <c r="L519" s="28" t="s">
        <v>683</v>
      </c>
      <c r="M519" s="28">
        <v>25</v>
      </c>
      <c r="N519" s="28" t="s">
        <v>682</v>
      </c>
      <c r="O519" s="28">
        <v>20</v>
      </c>
      <c r="P519" s="28" t="s">
        <v>683</v>
      </c>
      <c r="Q519" s="28">
        <v>16</v>
      </c>
      <c r="R519" s="28" t="s">
        <v>682</v>
      </c>
      <c r="S519" s="28">
        <v>12</v>
      </c>
      <c r="T519" s="28" t="s">
        <v>1167</v>
      </c>
      <c r="U519" s="99">
        <f>INT(G519*I519/K519*M519/O519*Q519/S519)</f>
        <v>0</v>
      </c>
    </row>
    <row r="520" spans="1:22" ht="14.45" customHeight="1">
      <c r="A520" s="11"/>
      <c r="B520" s="11"/>
      <c r="C520" s="11"/>
      <c r="D520" s="11"/>
      <c r="E520" s="11"/>
      <c r="F520" s="96"/>
      <c r="G520" s="96"/>
      <c r="O520" s="16"/>
      <c r="U520" s="100"/>
    </row>
    <row r="521" spans="1:22" ht="14.45" customHeight="1">
      <c r="A521" s="11"/>
      <c r="B521" s="55"/>
      <c r="C521" s="11"/>
      <c r="D521" s="55"/>
      <c r="E521" s="101"/>
      <c r="F521" s="97">
        <f>TRUNC((C521*E521),1)</f>
        <v>0</v>
      </c>
      <c r="G521" s="101"/>
      <c r="H521" s="14"/>
      <c r="J521" s="28"/>
      <c r="L521" s="14"/>
      <c r="N521" s="28"/>
      <c r="O521" s="16"/>
      <c r="P521" s="14"/>
      <c r="R521" s="28"/>
      <c r="T521" s="28"/>
      <c r="U521" s="99"/>
    </row>
    <row r="522" spans="1:22" ht="14.45" customHeight="1">
      <c r="A522" s="11"/>
      <c r="B522" s="11"/>
      <c r="C522" s="11"/>
      <c r="D522" s="11"/>
      <c r="E522" s="96"/>
      <c r="F522" s="96"/>
      <c r="G522" s="96"/>
      <c r="O522" s="16"/>
      <c r="U522" s="100"/>
    </row>
    <row r="523" spans="1:22" ht="14.45" customHeight="1">
      <c r="A523" s="11"/>
      <c r="B523" s="55" t="s">
        <v>1263</v>
      </c>
      <c r="C523" s="11">
        <v>0</v>
      </c>
      <c r="D523" s="55" t="s">
        <v>1023</v>
      </c>
      <c r="E523" s="101">
        <f>U523</f>
        <v>0</v>
      </c>
      <c r="F523" s="97">
        <f>TRUNC((C523*E523),1)</f>
        <v>0</v>
      </c>
      <c r="G523" s="101">
        <f>노임!F393</f>
        <v>0</v>
      </c>
      <c r="H523" s="28" t="s">
        <v>683</v>
      </c>
      <c r="I523" s="28">
        <v>1</v>
      </c>
      <c r="J523" s="28" t="s">
        <v>682</v>
      </c>
      <c r="K523" s="28">
        <v>8</v>
      </c>
      <c r="L523" s="28" t="s">
        <v>683</v>
      </c>
      <c r="M523" s="28">
        <v>25</v>
      </c>
      <c r="N523" s="28" t="s">
        <v>682</v>
      </c>
      <c r="O523" s="28">
        <v>20</v>
      </c>
      <c r="P523" s="28" t="s">
        <v>683</v>
      </c>
      <c r="Q523" s="28">
        <v>16</v>
      </c>
      <c r="R523" s="28" t="s">
        <v>682</v>
      </c>
      <c r="S523" s="28">
        <v>12</v>
      </c>
      <c r="T523" s="28" t="s">
        <v>1167</v>
      </c>
      <c r="U523" s="99">
        <f>INT(G523*I523/K523*M523/O523*Q523/S523)</f>
        <v>0</v>
      </c>
    </row>
    <row r="524" spans="1:22" ht="14.45" customHeight="1">
      <c r="A524" s="11"/>
      <c r="B524" s="11"/>
      <c r="C524" s="11"/>
      <c r="D524" s="11"/>
      <c r="E524" s="11"/>
      <c r="F524" s="96"/>
      <c r="G524" s="11"/>
      <c r="U524" s="15"/>
    </row>
    <row r="525" spans="1:22" ht="14.45" customHeight="1">
      <c r="A525" s="20"/>
      <c r="B525" s="59" t="s">
        <v>1020</v>
      </c>
      <c r="C525" s="20"/>
      <c r="D525" s="20"/>
      <c r="E525" s="20"/>
      <c r="F525" s="103">
        <f>INT(F523+F521+F519)</f>
        <v>0</v>
      </c>
      <c r="G525" s="20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2"/>
    </row>
    <row r="526" spans="1:22" ht="14.45" customHeight="1">
      <c r="A526" s="11"/>
      <c r="B526" s="11"/>
      <c r="C526" s="11"/>
      <c r="D526" s="11"/>
      <c r="E526" s="11"/>
      <c r="F526" s="96"/>
      <c r="G526" s="11"/>
      <c r="U526" s="15"/>
    </row>
    <row r="527" spans="1:22" ht="14.45" customHeight="1">
      <c r="A527" s="55" t="s">
        <v>1169</v>
      </c>
      <c r="B527" s="55" t="s">
        <v>1146</v>
      </c>
      <c r="C527" s="11">
        <v>0</v>
      </c>
      <c r="D527" s="55" t="s">
        <v>636</v>
      </c>
      <c r="E527" s="101">
        <f>자재!$F$19</f>
        <v>1528.38</v>
      </c>
      <c r="F527" s="97">
        <f>ROUNDDOWN(E527*C527,1)</f>
        <v>0</v>
      </c>
      <c r="G527" s="11"/>
      <c r="U527" s="15"/>
    </row>
    <row r="528" spans="1:22" ht="14.45" customHeight="1">
      <c r="A528" s="11"/>
      <c r="B528" s="11"/>
      <c r="C528" s="11"/>
      <c r="D528" s="11"/>
      <c r="E528" s="11"/>
      <c r="F528" s="11"/>
      <c r="G528" s="11"/>
      <c r="U528" s="15"/>
    </row>
    <row r="529" spans="1:21" ht="14.45" customHeight="1">
      <c r="A529" s="11"/>
      <c r="B529" s="55" t="s">
        <v>960</v>
      </c>
      <c r="C529" s="11">
        <v>0</v>
      </c>
      <c r="D529" s="11"/>
      <c r="E529" s="101">
        <f>F527</f>
        <v>0</v>
      </c>
      <c r="F529" s="97">
        <f>ROUNDDOWN(E529*C529,1)</f>
        <v>0</v>
      </c>
      <c r="G529" s="11"/>
      <c r="U529" s="15"/>
    </row>
    <row r="530" spans="1:21" ht="14.45" customHeight="1">
      <c r="A530" s="11"/>
      <c r="B530" s="11"/>
      <c r="C530" s="11"/>
      <c r="D530" s="11"/>
      <c r="E530" s="11"/>
      <c r="F530" s="96"/>
      <c r="G530" s="11"/>
      <c r="U530" s="15"/>
    </row>
    <row r="531" spans="1:21" ht="14.45" customHeight="1">
      <c r="A531" s="11"/>
      <c r="B531" s="55"/>
      <c r="C531" s="11"/>
      <c r="D531" s="55"/>
      <c r="E531" s="98"/>
      <c r="F531" s="101"/>
      <c r="G531" s="11"/>
      <c r="U531" s="15"/>
    </row>
    <row r="532" spans="1:21" ht="14.45" customHeight="1">
      <c r="A532" s="11"/>
      <c r="B532" s="11"/>
      <c r="C532" s="11"/>
      <c r="D532" s="11"/>
      <c r="E532" s="11"/>
      <c r="F532" s="96"/>
      <c r="G532" s="11"/>
      <c r="U532" s="15"/>
    </row>
    <row r="533" spans="1:21" ht="14.45" customHeight="1">
      <c r="A533" s="20"/>
      <c r="B533" s="59" t="s">
        <v>1020</v>
      </c>
      <c r="C533" s="20"/>
      <c r="D533" s="20"/>
      <c r="E533" s="20"/>
      <c r="F533" s="103">
        <f>INT(F531+F529+F527)</f>
        <v>0</v>
      </c>
      <c r="G533" s="20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2"/>
    </row>
    <row r="534" spans="1:21" ht="14.45" customHeight="1">
      <c r="A534" s="11"/>
      <c r="B534" s="11"/>
      <c r="C534" s="11"/>
      <c r="D534" s="11"/>
      <c r="E534" s="11"/>
      <c r="F534" s="96"/>
      <c r="G534" s="11"/>
      <c r="U534" s="15"/>
    </row>
    <row r="535" spans="1:21" ht="14.45" customHeight="1">
      <c r="A535" s="55" t="s">
        <v>1170</v>
      </c>
      <c r="B535" s="55" t="s">
        <v>965</v>
      </c>
      <c r="C535" s="11"/>
      <c r="D535" s="11"/>
      <c r="E535" s="11"/>
      <c r="F535" s="105">
        <f>INT(H535*M535*O535)</f>
        <v>0</v>
      </c>
      <c r="G535" s="11"/>
      <c r="H535" s="1126">
        <v>0</v>
      </c>
      <c r="I535" s="1126"/>
      <c r="J535" s="1126"/>
      <c r="K535" s="1126"/>
      <c r="L535" s="28" t="s">
        <v>921</v>
      </c>
      <c r="M535" s="106">
        <v>1636</v>
      </c>
      <c r="N535" s="10" t="s">
        <v>921</v>
      </c>
      <c r="O535" s="1017">
        <v>9.9999999999999995E-8</v>
      </c>
      <c r="P535" s="1017"/>
      <c r="Q535" s="1017"/>
      <c r="R535" s="1017"/>
      <c r="U535" s="15"/>
    </row>
    <row r="536" spans="1:21" ht="14.45" customHeight="1">
      <c r="A536" s="11"/>
      <c r="B536" s="11"/>
      <c r="C536" s="11"/>
      <c r="D536" s="11"/>
      <c r="E536" s="11"/>
      <c r="F536" s="96"/>
      <c r="G536" s="11"/>
      <c r="U536" s="15"/>
    </row>
    <row r="537" spans="1:21" ht="14.45" customHeight="1">
      <c r="A537" s="11"/>
      <c r="B537" s="11"/>
      <c r="C537" s="11"/>
      <c r="D537" s="11"/>
      <c r="E537" s="11"/>
      <c r="F537" s="96"/>
      <c r="G537" s="11"/>
      <c r="U537" s="15"/>
    </row>
    <row r="538" spans="1:21" ht="14.45" customHeight="1">
      <c r="A538" s="11"/>
      <c r="B538" s="11"/>
      <c r="C538" s="11"/>
      <c r="D538" s="11"/>
      <c r="E538" s="11"/>
      <c r="F538" s="96"/>
      <c r="G538" s="11"/>
      <c r="U538" s="15"/>
    </row>
    <row r="539" spans="1:21" ht="14.45" customHeight="1">
      <c r="A539" s="11"/>
      <c r="B539" s="11"/>
      <c r="C539" s="11"/>
      <c r="D539" s="11"/>
      <c r="E539" s="11"/>
      <c r="F539" s="96"/>
      <c r="G539" s="11"/>
      <c r="U539" s="15"/>
    </row>
    <row r="540" spans="1:21" ht="14.45" customHeight="1">
      <c r="A540" s="11"/>
      <c r="B540" s="11"/>
      <c r="C540" s="11"/>
      <c r="D540" s="11"/>
      <c r="E540" s="11"/>
      <c r="F540" s="96"/>
      <c r="G540" s="11"/>
      <c r="U540" s="15"/>
    </row>
    <row r="541" spans="1:21" ht="14.45" customHeight="1">
      <c r="A541" s="11"/>
      <c r="B541" s="11"/>
      <c r="C541" s="11"/>
      <c r="D541" s="11"/>
      <c r="E541" s="11"/>
      <c r="F541" s="96"/>
      <c r="G541" s="11"/>
      <c r="U541" s="15"/>
    </row>
    <row r="542" spans="1:21" ht="14.45" customHeight="1">
      <c r="A542" s="11"/>
      <c r="B542" s="11"/>
      <c r="C542" s="11"/>
      <c r="D542" s="11"/>
      <c r="E542" s="11"/>
      <c r="F542" s="96"/>
      <c r="G542" s="11"/>
      <c r="U542" s="15"/>
    </row>
    <row r="543" spans="1:21" ht="14.45" customHeight="1">
      <c r="A543" s="11"/>
      <c r="B543" s="11"/>
      <c r="C543" s="11"/>
      <c r="D543" s="11"/>
      <c r="E543" s="11"/>
      <c r="F543" s="96"/>
      <c r="G543" s="11"/>
      <c r="U543" s="15"/>
    </row>
    <row r="544" spans="1:21" ht="14.45" customHeight="1">
      <c r="A544" s="20"/>
      <c r="B544" s="20"/>
      <c r="C544" s="20"/>
      <c r="D544" s="20"/>
      <c r="E544" s="20"/>
      <c r="F544" s="102"/>
      <c r="G544" s="20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2"/>
    </row>
    <row r="545" spans="1:22" ht="14.45" customHeight="1">
      <c r="A545" s="11"/>
      <c r="B545" s="11"/>
      <c r="C545" s="11"/>
      <c r="D545" s="11"/>
      <c r="E545" s="11"/>
      <c r="F545" s="96"/>
      <c r="G545" s="11"/>
      <c r="U545" s="15"/>
    </row>
    <row r="546" spans="1:22" ht="14.45" customHeight="1">
      <c r="A546" s="59" t="s">
        <v>1156</v>
      </c>
      <c r="B546" s="20"/>
      <c r="C546" s="20"/>
      <c r="D546" s="20"/>
      <c r="E546" s="20"/>
      <c r="F546" s="103">
        <f>F525+F533+F535</f>
        <v>0</v>
      </c>
      <c r="G546" s="20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2"/>
    </row>
    <row r="547" spans="1:22" ht="14.45" customHeight="1">
      <c r="A547" s="1123" t="s">
        <v>968</v>
      </c>
      <c r="B547" s="1123"/>
      <c r="C547" s="1123"/>
      <c r="D547" s="6"/>
      <c r="E547" s="6"/>
      <c r="F547" s="80"/>
    </row>
    <row r="548" spans="1:22" ht="14.45" customHeight="1">
      <c r="A548" s="21"/>
      <c r="B548" s="21"/>
      <c r="C548" s="21"/>
      <c r="D548" s="21"/>
      <c r="E548" s="21"/>
      <c r="F548" s="107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</row>
    <row r="549" spans="1:22" ht="25.5" customHeight="1">
      <c r="A549" s="2" t="s">
        <v>1009</v>
      </c>
      <c r="B549" s="2" t="s">
        <v>1010</v>
      </c>
      <c r="C549" s="2" t="s">
        <v>1217</v>
      </c>
      <c r="D549" s="2" t="s">
        <v>1011</v>
      </c>
      <c r="E549" s="2" t="s">
        <v>207</v>
      </c>
      <c r="F549" s="2" t="s">
        <v>54</v>
      </c>
      <c r="G549" s="1119" t="s">
        <v>1766</v>
      </c>
      <c r="H549" s="1120"/>
      <c r="I549" s="1120"/>
      <c r="J549" s="1120"/>
      <c r="K549" s="1120"/>
      <c r="L549" s="1120"/>
      <c r="M549" s="1120"/>
      <c r="N549" s="1120"/>
      <c r="O549" s="1120"/>
      <c r="P549" s="1120"/>
      <c r="Q549" s="1120"/>
      <c r="R549" s="1120"/>
      <c r="S549" s="1120"/>
      <c r="T549" s="1120"/>
      <c r="U549" s="1121"/>
      <c r="V549" s="11"/>
    </row>
    <row r="550" spans="1:22" ht="14.45" customHeight="1">
      <c r="A550" s="11"/>
      <c r="B550" s="11"/>
      <c r="C550" s="11"/>
      <c r="D550" s="11"/>
      <c r="E550" s="11"/>
      <c r="F550" s="96"/>
      <c r="G550" s="11"/>
      <c r="U550" s="15"/>
    </row>
    <row r="551" spans="1:22" ht="14.45" customHeight="1">
      <c r="A551" s="55" t="s">
        <v>1168</v>
      </c>
      <c r="B551" s="55" t="s">
        <v>1261</v>
      </c>
      <c r="C551" s="11">
        <v>1</v>
      </c>
      <c r="D551" s="55" t="s">
        <v>1328</v>
      </c>
      <c r="E551" s="111">
        <f>U551</f>
        <v>57077</v>
      </c>
      <c r="F551" s="97">
        <f>U551</f>
        <v>57077</v>
      </c>
      <c r="G551" s="101">
        <f>노임!F3</f>
        <v>273971</v>
      </c>
      <c r="H551" s="28" t="s">
        <v>683</v>
      </c>
      <c r="I551" s="28">
        <v>1</v>
      </c>
      <c r="J551" s="28" t="s">
        <v>682</v>
      </c>
      <c r="K551" s="28">
        <v>8</v>
      </c>
      <c r="L551" s="28" t="s">
        <v>683</v>
      </c>
      <c r="M551" s="28">
        <v>25</v>
      </c>
      <c r="N551" s="28" t="s">
        <v>682</v>
      </c>
      <c r="O551" s="28">
        <v>20</v>
      </c>
      <c r="P551" s="28" t="s">
        <v>683</v>
      </c>
      <c r="Q551" s="28">
        <v>16</v>
      </c>
      <c r="R551" s="28" t="s">
        <v>682</v>
      </c>
      <c r="S551" s="28">
        <v>12</v>
      </c>
      <c r="T551" s="28" t="s">
        <v>1167</v>
      </c>
      <c r="U551" s="99">
        <f>INT(G551*I551/K551*M551/O551*Q551/S551)</f>
        <v>57077</v>
      </c>
    </row>
    <row r="552" spans="1:22" ht="14.45" customHeight="1">
      <c r="A552" s="11"/>
      <c r="B552" s="11"/>
      <c r="C552" s="11"/>
      <c r="D552" s="11"/>
      <c r="E552" s="11"/>
      <c r="F552" s="96"/>
      <c r="G552" s="96"/>
      <c r="O552" s="16"/>
      <c r="U552" s="100"/>
    </row>
    <row r="553" spans="1:22" ht="14.45" customHeight="1">
      <c r="A553" s="11"/>
      <c r="B553" s="55"/>
      <c r="C553" s="11"/>
      <c r="D553" s="55"/>
      <c r="E553" s="101"/>
      <c r="F553" s="97"/>
      <c r="G553" s="101"/>
      <c r="H553" s="14"/>
      <c r="J553" s="28"/>
      <c r="L553" s="14"/>
      <c r="N553" s="28"/>
      <c r="O553" s="16"/>
      <c r="P553" s="14"/>
      <c r="R553" s="28"/>
      <c r="T553" s="28"/>
      <c r="U553" s="99"/>
    </row>
    <row r="554" spans="1:22" ht="14.45" customHeight="1">
      <c r="A554" s="11"/>
      <c r="B554" s="11"/>
      <c r="C554" s="11"/>
      <c r="D554" s="11"/>
      <c r="E554" s="96"/>
      <c r="F554" s="96"/>
      <c r="G554" s="96"/>
      <c r="O554" s="16"/>
      <c r="U554" s="100"/>
    </row>
    <row r="555" spans="1:22" ht="14.45" customHeight="1">
      <c r="A555" s="11"/>
      <c r="B555" s="55" t="s">
        <v>1263</v>
      </c>
      <c r="C555" s="11"/>
      <c r="D555" s="55" t="s">
        <v>1023</v>
      </c>
      <c r="E555" s="101"/>
      <c r="F555" s="97">
        <f>TRUNC((C555*E555),1)</f>
        <v>0</v>
      </c>
      <c r="G555" s="101"/>
      <c r="H555" s="28" t="s">
        <v>683</v>
      </c>
      <c r="I555" s="28">
        <v>1</v>
      </c>
      <c r="J555" s="28" t="s">
        <v>682</v>
      </c>
      <c r="K555" s="28">
        <v>8</v>
      </c>
      <c r="L555" s="28" t="s">
        <v>683</v>
      </c>
      <c r="M555" s="28">
        <v>25</v>
      </c>
      <c r="N555" s="28" t="s">
        <v>682</v>
      </c>
      <c r="O555" s="28">
        <v>20</v>
      </c>
      <c r="P555" s="28" t="s">
        <v>683</v>
      </c>
      <c r="Q555" s="28">
        <v>16</v>
      </c>
      <c r="R555" s="28" t="s">
        <v>682</v>
      </c>
      <c r="S555" s="28">
        <v>12</v>
      </c>
      <c r="T555" s="28" t="s">
        <v>1167</v>
      </c>
      <c r="U555" s="99">
        <f>INT(G555*I555/K555*M555/O555*Q555/S555)</f>
        <v>0</v>
      </c>
    </row>
    <row r="556" spans="1:22" ht="14.45" customHeight="1">
      <c r="A556" s="11"/>
      <c r="B556" s="11"/>
      <c r="C556" s="11"/>
      <c r="D556" s="11"/>
      <c r="E556" s="11"/>
      <c r="F556" s="96"/>
      <c r="G556" s="11"/>
      <c r="U556" s="15"/>
    </row>
    <row r="557" spans="1:22" ht="14.45" customHeight="1">
      <c r="A557" s="20"/>
      <c r="B557" s="59" t="s">
        <v>1020</v>
      </c>
      <c r="C557" s="20"/>
      <c r="D557" s="20"/>
      <c r="E557" s="20"/>
      <c r="F557" s="103">
        <f>INT(F555+F553+F551)</f>
        <v>57077</v>
      </c>
      <c r="G557" s="20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2"/>
    </row>
    <row r="558" spans="1:22" ht="14.45" customHeight="1">
      <c r="A558" s="11"/>
      <c r="B558" s="11"/>
      <c r="C558" s="11"/>
      <c r="D558" s="11"/>
      <c r="E558" s="11"/>
      <c r="F558" s="96"/>
      <c r="G558" s="11"/>
      <c r="U558" s="15"/>
    </row>
    <row r="559" spans="1:22" ht="14.45" customHeight="1">
      <c r="A559" s="55" t="s">
        <v>1169</v>
      </c>
      <c r="B559" s="55" t="s">
        <v>1146</v>
      </c>
      <c r="C559" s="11">
        <v>27.2</v>
      </c>
      <c r="D559" s="55" t="s">
        <v>636</v>
      </c>
      <c r="E559" s="101">
        <f>자재!$F$19</f>
        <v>1528.38</v>
      </c>
      <c r="F559" s="97">
        <f>ROUNDDOWN(E559*C559,1)</f>
        <v>41571.9</v>
      </c>
      <c r="G559" s="11"/>
      <c r="U559" s="15"/>
    </row>
    <row r="560" spans="1:22" ht="14.45" customHeight="1">
      <c r="A560" s="11"/>
      <c r="B560" s="11"/>
      <c r="C560" s="11"/>
      <c r="D560" s="11"/>
      <c r="E560" s="11"/>
      <c r="F560" s="11"/>
      <c r="G560" s="11"/>
      <c r="U560" s="15"/>
    </row>
    <row r="561" spans="1:21" ht="14.45" customHeight="1">
      <c r="A561" s="11"/>
      <c r="B561" s="55" t="s">
        <v>217</v>
      </c>
      <c r="C561" s="11">
        <v>0.18</v>
      </c>
      <c r="D561" s="11"/>
      <c r="E561" s="101">
        <f>F559</f>
        <v>41571.9</v>
      </c>
      <c r="F561" s="97">
        <f>ROUNDDOWN(E561*C561,1)</f>
        <v>7482.9</v>
      </c>
      <c r="G561" s="11"/>
      <c r="U561" s="15"/>
    </row>
    <row r="562" spans="1:21" ht="14.45" customHeight="1">
      <c r="A562" s="11"/>
      <c r="B562" s="11"/>
      <c r="C562" s="11"/>
      <c r="D562" s="11"/>
      <c r="E562" s="11"/>
      <c r="F562" s="96"/>
      <c r="G562" s="11"/>
      <c r="U562" s="15"/>
    </row>
    <row r="563" spans="1:21" ht="14.45" customHeight="1">
      <c r="A563" s="11"/>
      <c r="B563" s="55"/>
      <c r="C563" s="11"/>
      <c r="D563" s="55"/>
      <c r="E563" s="98"/>
      <c r="F563" s="101"/>
      <c r="G563" s="11"/>
      <c r="U563" s="15"/>
    </row>
    <row r="564" spans="1:21" ht="14.45" customHeight="1">
      <c r="A564" s="11"/>
      <c r="B564" s="11"/>
      <c r="C564" s="11"/>
      <c r="D564" s="11"/>
      <c r="E564" s="11"/>
      <c r="F564" s="96"/>
      <c r="G564" s="11"/>
      <c r="U564" s="15"/>
    </row>
    <row r="565" spans="1:21" ht="14.45" customHeight="1">
      <c r="A565" s="20"/>
      <c r="B565" s="59" t="s">
        <v>1020</v>
      </c>
      <c r="C565" s="20"/>
      <c r="D565" s="20"/>
      <c r="E565" s="20"/>
      <c r="F565" s="103">
        <f>INT(F563+F561+F559)</f>
        <v>49054</v>
      </c>
      <c r="G565" s="20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2"/>
    </row>
    <row r="566" spans="1:21" ht="14.45" customHeight="1">
      <c r="A566" s="11"/>
      <c r="B566" s="11"/>
      <c r="C566" s="11"/>
      <c r="D566" s="11"/>
      <c r="E566" s="11"/>
      <c r="F566" s="96"/>
      <c r="G566" s="11"/>
      <c r="U566" s="15"/>
    </row>
    <row r="567" spans="1:21" ht="14.45" customHeight="1">
      <c r="A567" s="55" t="s">
        <v>1170</v>
      </c>
      <c r="B567" s="55" t="s">
        <v>965</v>
      </c>
      <c r="C567" s="11"/>
      <c r="D567" s="11"/>
      <c r="E567" s="11"/>
      <c r="F567" s="105">
        <f>INT(H567*M567*O567)</f>
        <v>34201</v>
      </c>
      <c r="G567" s="11"/>
      <c r="H567" s="1126">
        <v>178970000</v>
      </c>
      <c r="I567" s="1126"/>
      <c r="J567" s="1126"/>
      <c r="K567" s="1126"/>
      <c r="L567" s="28" t="s">
        <v>921</v>
      </c>
      <c r="M567" s="106">
        <v>1911</v>
      </c>
      <c r="N567" s="10" t="s">
        <v>921</v>
      </c>
      <c r="O567" s="1017">
        <v>9.9999999999999995E-8</v>
      </c>
      <c r="P567" s="1017"/>
      <c r="Q567" s="1017"/>
      <c r="R567" s="1017"/>
      <c r="U567" s="15"/>
    </row>
    <row r="568" spans="1:21" ht="14.45" customHeight="1">
      <c r="A568" s="11"/>
      <c r="B568" s="11"/>
      <c r="C568" s="11"/>
      <c r="D568" s="11"/>
      <c r="E568" s="11"/>
      <c r="F568" s="96"/>
      <c r="G568" s="11"/>
      <c r="U568" s="15"/>
    </row>
    <row r="569" spans="1:21" ht="14.45" customHeight="1">
      <c r="A569" s="11"/>
      <c r="B569" s="11"/>
      <c r="C569" s="11"/>
      <c r="D569" s="11"/>
      <c r="E569" s="11"/>
      <c r="F569" s="96"/>
      <c r="G569" s="11"/>
      <c r="U569" s="15"/>
    </row>
    <row r="570" spans="1:21" ht="14.45" customHeight="1">
      <c r="A570" s="11"/>
      <c r="B570" s="11"/>
      <c r="C570" s="11"/>
      <c r="D570" s="11"/>
      <c r="E570" s="11"/>
      <c r="F570" s="96"/>
      <c r="G570" s="11"/>
      <c r="U570" s="15"/>
    </row>
    <row r="571" spans="1:21" ht="14.45" customHeight="1">
      <c r="A571" s="11"/>
      <c r="B571" s="11"/>
      <c r="C571" s="11"/>
      <c r="D571" s="11"/>
      <c r="E571" s="11"/>
      <c r="F571" s="96"/>
      <c r="G571" s="11"/>
      <c r="U571" s="15"/>
    </row>
    <row r="572" spans="1:21" ht="14.45" customHeight="1">
      <c r="A572" s="11"/>
      <c r="B572" s="11"/>
      <c r="C572" s="11"/>
      <c r="D572" s="11"/>
      <c r="E572" s="11"/>
      <c r="F572" s="96"/>
      <c r="G572" s="11"/>
      <c r="U572" s="15"/>
    </row>
    <row r="573" spans="1:21" ht="14.45" customHeight="1">
      <c r="A573" s="11"/>
      <c r="B573" s="11"/>
      <c r="C573" s="11"/>
      <c r="D573" s="11"/>
      <c r="E573" s="11"/>
      <c r="F573" s="96"/>
      <c r="G573" s="11"/>
      <c r="U573" s="15"/>
    </row>
    <row r="574" spans="1:21" ht="14.45" customHeight="1">
      <c r="A574" s="11"/>
      <c r="B574" s="11"/>
      <c r="C574" s="11"/>
      <c r="D574" s="11"/>
      <c r="E574" s="11"/>
      <c r="F574" s="96"/>
      <c r="G574" s="11"/>
      <c r="U574" s="15"/>
    </row>
    <row r="575" spans="1:21" ht="14.45" customHeight="1">
      <c r="A575" s="11"/>
      <c r="B575" s="11"/>
      <c r="C575" s="11"/>
      <c r="D575" s="11"/>
      <c r="E575" s="11"/>
      <c r="F575" s="96"/>
      <c r="G575" s="11"/>
      <c r="U575" s="15"/>
    </row>
    <row r="576" spans="1:21" ht="14.45" customHeight="1">
      <c r="A576" s="20"/>
      <c r="B576" s="20"/>
      <c r="C576" s="20"/>
      <c r="D576" s="20"/>
      <c r="E576" s="20"/>
      <c r="F576" s="102"/>
      <c r="G576" s="20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2"/>
    </row>
    <row r="577" spans="1:22" ht="14.45" customHeight="1">
      <c r="A577" s="11"/>
      <c r="B577" s="11"/>
      <c r="C577" s="11"/>
      <c r="D577" s="11"/>
      <c r="E577" s="11"/>
      <c r="F577" s="96"/>
      <c r="G577" s="11"/>
      <c r="U577" s="15"/>
    </row>
    <row r="578" spans="1:22" ht="14.45" customHeight="1">
      <c r="A578" s="59" t="s">
        <v>1156</v>
      </c>
      <c r="B578" s="20"/>
      <c r="C578" s="20"/>
      <c r="D578" s="20"/>
      <c r="E578" s="20"/>
      <c r="F578" s="103">
        <f>F557+F565+F567</f>
        <v>140332</v>
      </c>
      <c r="G578" s="20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2"/>
    </row>
    <row r="579" spans="1:22" ht="14.45" customHeight="1">
      <c r="A579" s="1123" t="s">
        <v>969</v>
      </c>
      <c r="B579" s="1123"/>
      <c r="C579" s="1123"/>
      <c r="D579" s="6"/>
      <c r="E579" s="6"/>
      <c r="F579" s="80"/>
    </row>
    <row r="580" spans="1:22" ht="14.45" customHeight="1">
      <c r="A580" s="21"/>
      <c r="B580" s="21"/>
      <c r="C580" s="21"/>
      <c r="D580" s="21"/>
      <c r="E580" s="21"/>
      <c r="F580" s="107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</row>
    <row r="581" spans="1:22" ht="25.5" customHeight="1">
      <c r="A581" s="2" t="s">
        <v>1009</v>
      </c>
      <c r="B581" s="2" t="s">
        <v>1010</v>
      </c>
      <c r="C581" s="2" t="s">
        <v>1217</v>
      </c>
      <c r="D581" s="2" t="s">
        <v>1011</v>
      </c>
      <c r="E581" s="2" t="s">
        <v>207</v>
      </c>
      <c r="F581" s="2" t="s">
        <v>54</v>
      </c>
      <c r="G581" s="1119" t="s">
        <v>1766</v>
      </c>
      <c r="H581" s="1120"/>
      <c r="I581" s="1120"/>
      <c r="J581" s="1120"/>
      <c r="K581" s="1120"/>
      <c r="L581" s="1120"/>
      <c r="M581" s="1120"/>
      <c r="N581" s="1120"/>
      <c r="O581" s="1120"/>
      <c r="P581" s="1120"/>
      <c r="Q581" s="1120"/>
      <c r="R581" s="1120"/>
      <c r="S581" s="1120"/>
      <c r="T581" s="1120"/>
      <c r="U581" s="1121"/>
      <c r="V581" s="11"/>
    </row>
    <row r="582" spans="1:22" ht="14.45" customHeight="1">
      <c r="A582" s="11"/>
      <c r="B582" s="11"/>
      <c r="C582" s="11"/>
      <c r="D582" s="11"/>
      <c r="E582" s="11"/>
      <c r="F582" s="96"/>
      <c r="G582" s="11"/>
      <c r="U582" s="15"/>
    </row>
    <row r="583" spans="1:22" ht="14.45" customHeight="1">
      <c r="A583" s="55" t="s">
        <v>1168</v>
      </c>
      <c r="B583" s="55" t="s">
        <v>1261</v>
      </c>
      <c r="C583" s="11">
        <v>1</v>
      </c>
      <c r="D583" s="55" t="s">
        <v>1328</v>
      </c>
      <c r="E583" s="11"/>
      <c r="F583" s="97">
        <f>U583</f>
        <v>35608</v>
      </c>
      <c r="G583" s="101">
        <f>노임!F6</f>
        <v>170920</v>
      </c>
      <c r="H583" s="28" t="s">
        <v>683</v>
      </c>
      <c r="I583" s="28">
        <v>1</v>
      </c>
      <c r="J583" s="28" t="s">
        <v>682</v>
      </c>
      <c r="K583" s="28">
        <v>8</v>
      </c>
      <c r="L583" s="28" t="s">
        <v>683</v>
      </c>
      <c r="M583" s="28">
        <v>25</v>
      </c>
      <c r="N583" s="28" t="s">
        <v>682</v>
      </c>
      <c r="O583" s="28">
        <v>20</v>
      </c>
      <c r="P583" s="28" t="s">
        <v>683</v>
      </c>
      <c r="Q583" s="28">
        <v>16</v>
      </c>
      <c r="R583" s="28" t="s">
        <v>682</v>
      </c>
      <c r="S583" s="28">
        <v>12</v>
      </c>
      <c r="T583" s="28" t="s">
        <v>1167</v>
      </c>
      <c r="U583" s="99">
        <f>INT(G583*I583/K583*M583/O583*Q583/S583)</f>
        <v>35608</v>
      </c>
    </row>
    <row r="584" spans="1:22" ht="14.45" customHeight="1">
      <c r="A584" s="11"/>
      <c r="B584" s="11"/>
      <c r="C584" s="11"/>
      <c r="D584" s="11"/>
      <c r="E584" s="11"/>
      <c r="F584" s="96"/>
      <c r="G584" s="96"/>
      <c r="O584" s="18"/>
      <c r="U584" s="100"/>
    </row>
    <row r="585" spans="1:22" ht="14.45" customHeight="1">
      <c r="A585" s="11"/>
      <c r="B585" s="55"/>
      <c r="C585" s="11"/>
      <c r="D585" s="55"/>
      <c r="E585" s="101"/>
      <c r="F585" s="97"/>
      <c r="G585" s="101"/>
      <c r="H585" s="14"/>
      <c r="J585" s="28"/>
      <c r="L585" s="14"/>
      <c r="N585" s="28"/>
      <c r="O585" s="18"/>
      <c r="P585" s="14"/>
      <c r="R585" s="28"/>
      <c r="T585" s="28"/>
      <c r="U585" s="99"/>
    </row>
    <row r="586" spans="1:22" ht="14.45" customHeight="1">
      <c r="A586" s="11"/>
      <c r="B586" s="11"/>
      <c r="C586" s="11"/>
      <c r="D586" s="11"/>
      <c r="E586" s="96"/>
      <c r="F586" s="96"/>
      <c r="G586" s="96"/>
      <c r="O586" s="18"/>
      <c r="U586" s="100"/>
    </row>
    <row r="587" spans="1:22" ht="14.45" customHeight="1">
      <c r="A587" s="11"/>
      <c r="B587" s="55"/>
      <c r="C587" s="11"/>
      <c r="D587" s="55"/>
      <c r="E587" s="101"/>
      <c r="F587" s="97"/>
      <c r="G587" s="101"/>
      <c r="H587" s="14"/>
      <c r="J587" s="28"/>
      <c r="L587" s="14"/>
      <c r="N587" s="28"/>
      <c r="O587" s="18"/>
      <c r="P587" s="14"/>
      <c r="R587" s="28"/>
      <c r="T587" s="28"/>
      <c r="U587" s="99"/>
    </row>
    <row r="588" spans="1:22" ht="14.45" customHeight="1">
      <c r="A588" s="11"/>
      <c r="B588" s="11"/>
      <c r="C588" s="11"/>
      <c r="D588" s="11"/>
      <c r="E588" s="11"/>
      <c r="F588" s="96"/>
      <c r="G588" s="11"/>
      <c r="U588" s="15"/>
    </row>
    <row r="589" spans="1:22" ht="14.45" customHeight="1">
      <c r="A589" s="20"/>
      <c r="B589" s="59" t="s">
        <v>1020</v>
      </c>
      <c r="C589" s="20"/>
      <c r="D589" s="20"/>
      <c r="E589" s="20"/>
      <c r="F589" s="103">
        <f>INT(F587+F585+F583)</f>
        <v>35608</v>
      </c>
      <c r="G589" s="20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2"/>
    </row>
    <row r="590" spans="1:22" ht="14.45" customHeight="1">
      <c r="A590" s="11"/>
      <c r="B590" s="11"/>
      <c r="C590" s="11"/>
      <c r="D590" s="11"/>
      <c r="E590" s="11"/>
      <c r="F590" s="96"/>
      <c r="G590" s="11"/>
      <c r="U590" s="15"/>
    </row>
    <row r="591" spans="1:22" ht="14.45" customHeight="1">
      <c r="A591" s="55" t="s">
        <v>1169</v>
      </c>
      <c r="B591" s="55" t="s">
        <v>973</v>
      </c>
      <c r="C591" s="11">
        <v>1</v>
      </c>
      <c r="D591" s="55" t="s">
        <v>636</v>
      </c>
      <c r="E591" s="101">
        <f>자재!$F$18</f>
        <v>1695.23</v>
      </c>
      <c r="F591" s="97">
        <f>ROUNDDOWN(E591*C591,1)</f>
        <v>1695.2</v>
      </c>
      <c r="G591" s="11"/>
      <c r="U591" s="15"/>
    </row>
    <row r="592" spans="1:22" ht="14.45" customHeight="1">
      <c r="A592" s="11"/>
      <c r="B592" s="11"/>
      <c r="C592" s="11"/>
      <c r="D592" s="11"/>
      <c r="E592" s="11"/>
      <c r="F592" s="11"/>
      <c r="G592" s="11"/>
      <c r="U592" s="15"/>
    </row>
    <row r="593" spans="1:21" ht="14.45" customHeight="1">
      <c r="A593" s="11"/>
      <c r="B593" s="55" t="s">
        <v>960</v>
      </c>
      <c r="C593" s="11">
        <v>0.2</v>
      </c>
      <c r="D593" s="11"/>
      <c r="E593" s="101">
        <f>F591</f>
        <v>1695.2</v>
      </c>
      <c r="F593" s="97">
        <f>ROUNDDOWN(E593*C593,1)</f>
        <v>339</v>
      </c>
      <c r="G593" s="11"/>
      <c r="U593" s="15"/>
    </row>
    <row r="594" spans="1:21" ht="14.45" customHeight="1">
      <c r="A594" s="11"/>
      <c r="B594" s="11"/>
      <c r="C594" s="11"/>
      <c r="D594" s="11"/>
      <c r="E594" s="11"/>
      <c r="F594" s="96"/>
      <c r="G594" s="11"/>
      <c r="U594" s="15"/>
    </row>
    <row r="595" spans="1:21" ht="14.45" customHeight="1">
      <c r="A595" s="11"/>
      <c r="B595" s="55"/>
      <c r="C595" s="11"/>
      <c r="D595" s="55"/>
      <c r="E595" s="98"/>
      <c r="F595" s="101"/>
      <c r="G595" s="11"/>
      <c r="U595" s="15"/>
    </row>
    <row r="596" spans="1:21" ht="14.45" customHeight="1">
      <c r="A596" s="11"/>
      <c r="B596" s="11"/>
      <c r="C596" s="11"/>
      <c r="D596" s="11"/>
      <c r="E596" s="11"/>
      <c r="F596" s="96"/>
      <c r="G596" s="11"/>
      <c r="U596" s="15"/>
    </row>
    <row r="597" spans="1:21" ht="14.45" customHeight="1">
      <c r="A597" s="20"/>
      <c r="B597" s="59" t="s">
        <v>1020</v>
      </c>
      <c r="C597" s="20"/>
      <c r="D597" s="20"/>
      <c r="E597" s="20"/>
      <c r="F597" s="103">
        <f>INT(F595+F593+F591)</f>
        <v>2034</v>
      </c>
      <c r="G597" s="20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2"/>
    </row>
    <row r="598" spans="1:21" ht="14.45" customHeight="1">
      <c r="A598" s="11"/>
      <c r="B598" s="11"/>
      <c r="C598" s="11"/>
      <c r="D598" s="11"/>
      <c r="E598" s="11"/>
      <c r="F598" s="96"/>
      <c r="G598" s="11"/>
      <c r="U598" s="15"/>
    </row>
    <row r="599" spans="1:21" ht="14.45" customHeight="1">
      <c r="A599" s="55" t="s">
        <v>1170</v>
      </c>
      <c r="B599" s="55" t="s">
        <v>965</v>
      </c>
      <c r="C599" s="11"/>
      <c r="D599" s="11"/>
      <c r="E599" s="11"/>
      <c r="F599" s="105">
        <f>TRUNC(H599*M599*O599)</f>
        <v>529</v>
      </c>
      <c r="G599" s="11"/>
      <c r="H599" s="1127">
        <v>1428000</v>
      </c>
      <c r="I599" s="1127"/>
      <c r="J599" s="1127"/>
      <c r="K599" s="1127"/>
      <c r="L599" s="28" t="s">
        <v>921</v>
      </c>
      <c r="M599" s="106">
        <v>3708</v>
      </c>
      <c r="N599" s="10" t="s">
        <v>921</v>
      </c>
      <c r="O599" s="1017">
        <v>9.9999999999999995E-8</v>
      </c>
      <c r="P599" s="1017"/>
      <c r="Q599" s="1017"/>
      <c r="R599" s="1017"/>
      <c r="U599" s="15"/>
    </row>
    <row r="600" spans="1:21" ht="14.45" customHeight="1">
      <c r="A600" s="11"/>
      <c r="B600" s="11"/>
      <c r="C600" s="11"/>
      <c r="D600" s="11"/>
      <c r="E600" s="11"/>
      <c r="F600" s="96"/>
      <c r="G600" s="11"/>
      <c r="U600" s="15"/>
    </row>
    <row r="601" spans="1:21" ht="14.45" customHeight="1">
      <c r="A601" s="11"/>
      <c r="B601" s="11"/>
      <c r="C601" s="11"/>
      <c r="D601" s="11"/>
      <c r="E601" s="11"/>
      <c r="F601" s="96"/>
      <c r="G601" s="11"/>
      <c r="U601" s="15"/>
    </row>
    <row r="602" spans="1:21" ht="14.45" customHeight="1">
      <c r="A602" s="11"/>
      <c r="B602" s="11"/>
      <c r="C602" s="11"/>
      <c r="D602" s="11"/>
      <c r="E602" s="11"/>
      <c r="F602" s="96"/>
      <c r="G602" s="11"/>
      <c r="U602" s="15"/>
    </row>
    <row r="603" spans="1:21" ht="14.45" customHeight="1">
      <c r="A603" s="11"/>
      <c r="B603" s="11"/>
      <c r="C603" s="11"/>
      <c r="D603" s="11"/>
      <c r="E603" s="11"/>
      <c r="F603" s="96"/>
      <c r="G603" s="11"/>
      <c r="U603" s="15"/>
    </row>
    <row r="604" spans="1:21" ht="14.45" customHeight="1">
      <c r="A604" s="11"/>
      <c r="B604" s="11"/>
      <c r="C604" s="11"/>
      <c r="D604" s="11"/>
      <c r="E604" s="11"/>
      <c r="F604" s="96"/>
      <c r="G604" s="11"/>
      <c r="U604" s="15"/>
    </row>
    <row r="605" spans="1:21" ht="14.45" customHeight="1">
      <c r="A605" s="11"/>
      <c r="B605" s="11"/>
      <c r="C605" s="11"/>
      <c r="D605" s="11"/>
      <c r="E605" s="11"/>
      <c r="F605" s="96"/>
      <c r="G605" s="11"/>
      <c r="U605" s="15"/>
    </row>
    <row r="606" spans="1:21" ht="14.45" customHeight="1">
      <c r="A606" s="11"/>
      <c r="B606" s="11"/>
      <c r="C606" s="11"/>
      <c r="D606" s="11"/>
      <c r="E606" s="11"/>
      <c r="F606" s="96"/>
      <c r="G606" s="11"/>
      <c r="U606" s="15"/>
    </row>
    <row r="607" spans="1:21" ht="14.45" customHeight="1">
      <c r="A607" s="11"/>
      <c r="B607" s="11"/>
      <c r="C607" s="11"/>
      <c r="D607" s="11"/>
      <c r="E607" s="11"/>
      <c r="F607" s="96"/>
      <c r="G607" s="11"/>
      <c r="U607" s="15"/>
    </row>
    <row r="608" spans="1:21" ht="14.45" customHeight="1">
      <c r="A608" s="20"/>
      <c r="B608" s="20"/>
      <c r="C608" s="20"/>
      <c r="D608" s="20"/>
      <c r="E608" s="20"/>
      <c r="F608" s="102"/>
      <c r="G608" s="20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2"/>
    </row>
    <row r="609" spans="1:22" ht="14.45" customHeight="1">
      <c r="A609" s="11"/>
      <c r="B609" s="11"/>
      <c r="C609" s="11"/>
      <c r="D609" s="11"/>
      <c r="E609" s="11"/>
      <c r="F609" s="96"/>
      <c r="G609" s="11"/>
      <c r="U609" s="15"/>
    </row>
    <row r="610" spans="1:22" ht="14.45" customHeight="1">
      <c r="A610" s="59" t="s">
        <v>1156</v>
      </c>
      <c r="B610" s="20"/>
      <c r="C610" s="20"/>
      <c r="D610" s="20"/>
      <c r="E610" s="20"/>
      <c r="F610" s="103">
        <f>F589+F597+F599</f>
        <v>38171</v>
      </c>
      <c r="G610" s="20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2"/>
    </row>
    <row r="611" spans="1:22" ht="14.45" customHeight="1">
      <c r="A611" s="1123" t="s">
        <v>974</v>
      </c>
      <c r="B611" s="1123"/>
      <c r="C611" s="1123"/>
      <c r="F611" s="80"/>
    </row>
    <row r="612" spans="1:22" ht="14.45" customHeight="1">
      <c r="A612" s="112"/>
      <c r="B612" s="113"/>
      <c r="C612" s="113"/>
      <c r="D612" s="113"/>
      <c r="E612" s="21"/>
      <c r="F612" s="107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</row>
    <row r="613" spans="1:22" ht="25.5" customHeight="1">
      <c r="A613" s="2" t="s">
        <v>1009</v>
      </c>
      <c r="B613" s="2" t="s">
        <v>1010</v>
      </c>
      <c r="C613" s="2" t="s">
        <v>1217</v>
      </c>
      <c r="D613" s="2" t="s">
        <v>1011</v>
      </c>
      <c r="E613" s="2" t="s">
        <v>207</v>
      </c>
      <c r="F613" s="2" t="s">
        <v>54</v>
      </c>
      <c r="G613" s="1119" t="s">
        <v>1766</v>
      </c>
      <c r="H613" s="1120"/>
      <c r="I613" s="1120"/>
      <c r="J613" s="1120"/>
      <c r="K613" s="1120"/>
      <c r="L613" s="1120"/>
      <c r="M613" s="1120"/>
      <c r="N613" s="1120"/>
      <c r="O613" s="1120"/>
      <c r="P613" s="1120"/>
      <c r="Q613" s="1120"/>
      <c r="R613" s="1120"/>
      <c r="S613" s="1120"/>
      <c r="T613" s="1120"/>
      <c r="U613" s="1121"/>
      <c r="V613" s="11"/>
    </row>
    <row r="614" spans="1:22" ht="14.45" customHeight="1">
      <c r="A614" s="11"/>
      <c r="B614" s="11"/>
      <c r="C614" s="11"/>
      <c r="D614" s="11"/>
      <c r="E614" s="11"/>
      <c r="F614" s="96"/>
      <c r="G614" s="11"/>
      <c r="U614" s="15"/>
    </row>
    <row r="615" spans="1:22" ht="14.45" customHeight="1">
      <c r="A615" s="55" t="s">
        <v>1168</v>
      </c>
      <c r="B615" s="55" t="s">
        <v>1261</v>
      </c>
      <c r="C615" s="11">
        <v>1</v>
      </c>
      <c r="D615" s="55" t="s">
        <v>1328</v>
      </c>
      <c r="E615" s="111">
        <f>U615</f>
        <v>57077</v>
      </c>
      <c r="F615" s="97">
        <f>U615</f>
        <v>57077</v>
      </c>
      <c r="G615" s="101">
        <f>노임!F3</f>
        <v>273971</v>
      </c>
      <c r="H615" s="28" t="s">
        <v>683</v>
      </c>
      <c r="I615" s="28">
        <v>1</v>
      </c>
      <c r="J615" s="28" t="s">
        <v>682</v>
      </c>
      <c r="K615" s="28">
        <v>8</v>
      </c>
      <c r="L615" s="28" t="s">
        <v>683</v>
      </c>
      <c r="M615" s="28">
        <v>25</v>
      </c>
      <c r="N615" s="28" t="s">
        <v>682</v>
      </c>
      <c r="O615" s="28">
        <v>20</v>
      </c>
      <c r="P615" s="28" t="s">
        <v>683</v>
      </c>
      <c r="Q615" s="28">
        <v>16</v>
      </c>
      <c r="R615" s="28" t="s">
        <v>682</v>
      </c>
      <c r="S615" s="28">
        <v>12</v>
      </c>
      <c r="T615" s="28" t="s">
        <v>1167</v>
      </c>
      <c r="U615" s="99">
        <f>INT(G615*I615/K615*M615/O615*Q615/S615)</f>
        <v>57077</v>
      </c>
    </row>
    <row r="616" spans="1:22" ht="14.45" customHeight="1">
      <c r="A616" s="11"/>
      <c r="B616" s="11"/>
      <c r="C616" s="11"/>
      <c r="D616" s="11"/>
      <c r="E616" s="11"/>
      <c r="F616" s="96"/>
      <c r="G616" s="11"/>
      <c r="U616" s="100"/>
    </row>
    <row r="617" spans="1:22" ht="14.45" customHeight="1">
      <c r="A617" s="11"/>
      <c r="B617" s="11"/>
      <c r="C617" s="11"/>
      <c r="D617" s="11"/>
      <c r="E617" s="11"/>
      <c r="F617" s="97">
        <f>TRUNC((C617*E617),1)</f>
        <v>0</v>
      </c>
      <c r="G617" s="11"/>
      <c r="U617" s="99"/>
    </row>
    <row r="618" spans="1:22" ht="14.45" customHeight="1">
      <c r="A618" s="11"/>
      <c r="B618" s="11"/>
      <c r="C618" s="11"/>
      <c r="D618" s="11"/>
      <c r="E618" s="11"/>
      <c r="F618" s="96"/>
      <c r="G618" s="11"/>
      <c r="U618" s="100"/>
    </row>
    <row r="619" spans="1:22" ht="14.45" customHeight="1">
      <c r="A619" s="11"/>
      <c r="B619" s="11"/>
      <c r="C619" s="11"/>
      <c r="D619" s="11"/>
      <c r="E619" s="11"/>
      <c r="F619" s="97">
        <f>TRUNC((C619*E619),1)</f>
        <v>0</v>
      </c>
      <c r="G619" s="11"/>
      <c r="U619" s="99"/>
    </row>
    <row r="620" spans="1:22" ht="14.45" customHeight="1">
      <c r="A620" s="20"/>
      <c r="B620" s="59" t="s">
        <v>1020</v>
      </c>
      <c r="C620" s="20"/>
      <c r="D620" s="20"/>
      <c r="E620" s="20"/>
      <c r="F620" s="103">
        <f>INT(F615)</f>
        <v>57077</v>
      </c>
      <c r="G620" s="20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2"/>
    </row>
    <row r="621" spans="1:22" ht="14.45" customHeight="1">
      <c r="A621" s="11"/>
      <c r="B621" s="11"/>
      <c r="C621" s="11"/>
      <c r="D621" s="11"/>
      <c r="E621" s="11"/>
      <c r="F621" s="96"/>
      <c r="G621" s="11"/>
      <c r="U621" s="15"/>
    </row>
    <row r="622" spans="1:22" ht="14.45" customHeight="1">
      <c r="A622" s="11"/>
      <c r="B622" s="11"/>
      <c r="C622" s="11"/>
      <c r="D622" s="11"/>
      <c r="E622" s="11"/>
      <c r="F622" s="96"/>
      <c r="G622" s="11"/>
      <c r="U622" s="15"/>
    </row>
    <row r="623" spans="1:22" ht="14.45" customHeight="1">
      <c r="A623" s="55" t="s">
        <v>1169</v>
      </c>
      <c r="B623" s="55" t="s">
        <v>1146</v>
      </c>
      <c r="C623" s="11">
        <v>10</v>
      </c>
      <c r="D623" s="55" t="s">
        <v>636</v>
      </c>
      <c r="E623" s="101">
        <f>자재!$F$19</f>
        <v>1528.38</v>
      </c>
      <c r="F623" s="97">
        <f>ROUNDDOWN(E623*C623,1)</f>
        <v>15283.8</v>
      </c>
      <c r="G623" s="11"/>
      <c r="U623" s="15"/>
    </row>
    <row r="624" spans="1:22" ht="14.45" customHeight="1">
      <c r="A624" s="11"/>
      <c r="B624" s="11"/>
      <c r="C624" s="11"/>
      <c r="D624" s="11"/>
      <c r="E624" s="11"/>
      <c r="F624" s="11"/>
      <c r="G624" s="11"/>
      <c r="U624" s="15"/>
    </row>
    <row r="625" spans="1:21" ht="14.45" customHeight="1">
      <c r="A625" s="11"/>
      <c r="B625" s="55" t="s">
        <v>219</v>
      </c>
      <c r="C625" s="11">
        <v>0.16</v>
      </c>
      <c r="D625" s="11"/>
      <c r="E625" s="101">
        <f>F623</f>
        <v>15283.8</v>
      </c>
      <c r="F625" s="97">
        <f>ROUNDDOWN(E625*C625,1)</f>
        <v>2445.4</v>
      </c>
      <c r="G625" s="11"/>
      <c r="U625" s="15"/>
    </row>
    <row r="626" spans="1:21" ht="14.45" customHeight="1">
      <c r="A626" s="11"/>
      <c r="B626" s="11"/>
      <c r="C626" s="11"/>
      <c r="D626" s="11"/>
      <c r="E626" s="11"/>
      <c r="F626" s="96"/>
      <c r="G626" s="11"/>
      <c r="U626" s="15"/>
    </row>
    <row r="627" spans="1:21" ht="14.45" customHeight="1">
      <c r="A627" s="11"/>
      <c r="B627" s="11"/>
      <c r="C627" s="11"/>
      <c r="D627" s="11"/>
      <c r="E627" s="11"/>
      <c r="F627" s="96"/>
      <c r="G627" s="11"/>
      <c r="U627" s="15"/>
    </row>
    <row r="628" spans="1:21" ht="14.45" customHeight="1">
      <c r="A628" s="20"/>
      <c r="B628" s="59" t="s">
        <v>1020</v>
      </c>
      <c r="C628" s="20"/>
      <c r="D628" s="20"/>
      <c r="E628" s="20"/>
      <c r="F628" s="103">
        <f>INT(F625+F623)</f>
        <v>17729</v>
      </c>
      <c r="G628" s="20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2"/>
    </row>
    <row r="629" spans="1:21" ht="14.45" customHeight="1">
      <c r="A629" s="11"/>
      <c r="B629" s="11"/>
      <c r="C629" s="11"/>
      <c r="D629" s="11"/>
      <c r="E629" s="11"/>
      <c r="F629" s="96"/>
      <c r="G629" s="11"/>
      <c r="U629" s="15"/>
    </row>
    <row r="630" spans="1:21" ht="14.45" customHeight="1">
      <c r="A630" s="55" t="s">
        <v>1170</v>
      </c>
      <c r="B630" s="55" t="s">
        <v>1147</v>
      </c>
      <c r="C630" s="11"/>
      <c r="D630" s="11"/>
      <c r="E630" s="11"/>
      <c r="F630" s="105">
        <f>INT(H630*M630*O630)</f>
        <v>3080</v>
      </c>
      <c r="G630" s="11"/>
      <c r="H630" s="1126">
        <v>17921000</v>
      </c>
      <c r="I630" s="1126"/>
      <c r="J630" s="1126"/>
      <c r="K630" s="1126"/>
      <c r="L630" s="28" t="s">
        <v>921</v>
      </c>
      <c r="M630" s="106">
        <v>1719</v>
      </c>
      <c r="N630" s="10" t="s">
        <v>921</v>
      </c>
      <c r="O630" s="1017">
        <v>9.9999999999999995E-8</v>
      </c>
      <c r="P630" s="1017"/>
      <c r="Q630" s="1017"/>
      <c r="R630" s="1017"/>
      <c r="U630" s="15"/>
    </row>
    <row r="631" spans="1:21" ht="14.45" customHeight="1">
      <c r="A631" s="11"/>
      <c r="B631" s="11"/>
      <c r="C631" s="11"/>
      <c r="D631" s="11"/>
      <c r="E631" s="11"/>
      <c r="F631" s="96"/>
      <c r="G631" s="11"/>
      <c r="U631" s="15"/>
    </row>
    <row r="632" spans="1:21" ht="14.45" customHeight="1">
      <c r="A632" s="11"/>
      <c r="B632" s="11"/>
      <c r="C632" s="11"/>
      <c r="D632" s="11"/>
      <c r="E632" s="11"/>
      <c r="F632" s="96"/>
      <c r="G632" s="11"/>
      <c r="U632" s="15"/>
    </row>
    <row r="633" spans="1:21" ht="14.45" customHeight="1">
      <c r="A633" s="11"/>
      <c r="B633" s="11"/>
      <c r="C633" s="11"/>
      <c r="D633" s="11"/>
      <c r="E633" s="11"/>
      <c r="F633" s="96"/>
      <c r="G633" s="11"/>
      <c r="U633" s="15"/>
    </row>
    <row r="634" spans="1:21" ht="14.45" customHeight="1">
      <c r="A634" s="11"/>
      <c r="B634" s="11"/>
      <c r="C634" s="11"/>
      <c r="D634" s="11"/>
      <c r="E634" s="11"/>
      <c r="F634" s="96"/>
      <c r="G634" s="11"/>
      <c r="U634" s="15"/>
    </row>
    <row r="635" spans="1:21" ht="14.45" customHeight="1">
      <c r="A635" s="11"/>
      <c r="B635" s="11"/>
      <c r="C635" s="11"/>
      <c r="D635" s="11"/>
      <c r="E635" s="11"/>
      <c r="F635" s="96"/>
      <c r="G635" s="11"/>
      <c r="U635" s="15"/>
    </row>
    <row r="636" spans="1:21" ht="14.45" customHeight="1">
      <c r="A636" s="11"/>
      <c r="B636" s="11"/>
      <c r="C636" s="11"/>
      <c r="D636" s="11"/>
      <c r="E636" s="11"/>
      <c r="F636" s="96"/>
      <c r="G636" s="11"/>
      <c r="U636" s="15"/>
    </row>
    <row r="637" spans="1:21" ht="14.45" customHeight="1">
      <c r="A637" s="11"/>
      <c r="B637" s="11"/>
      <c r="C637" s="11"/>
      <c r="D637" s="11"/>
      <c r="E637" s="11"/>
      <c r="F637" s="96"/>
      <c r="G637" s="11"/>
      <c r="U637" s="15"/>
    </row>
    <row r="638" spans="1:21" ht="14.45" customHeight="1">
      <c r="A638" s="11"/>
      <c r="B638" s="11"/>
      <c r="C638" s="11"/>
      <c r="D638" s="11"/>
      <c r="E638" s="11"/>
      <c r="F638" s="96"/>
      <c r="G638" s="11"/>
      <c r="U638" s="15"/>
    </row>
    <row r="639" spans="1:21" ht="14.45" customHeight="1">
      <c r="A639" s="11"/>
      <c r="B639" s="11"/>
      <c r="C639" s="11"/>
      <c r="D639" s="11"/>
      <c r="E639" s="11"/>
      <c r="F639" s="96"/>
      <c r="G639" s="11"/>
      <c r="U639" s="15"/>
    </row>
    <row r="640" spans="1:21" ht="14.45" customHeight="1">
      <c r="A640" s="20"/>
      <c r="B640" s="20"/>
      <c r="C640" s="20"/>
      <c r="D640" s="20"/>
      <c r="E640" s="20"/>
      <c r="F640" s="102"/>
      <c r="G640" s="20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2"/>
    </row>
    <row r="641" spans="1:22" ht="14.45" customHeight="1">
      <c r="A641" s="11"/>
      <c r="B641" s="11"/>
      <c r="C641" s="11"/>
      <c r="D641" s="11"/>
      <c r="E641" s="11"/>
      <c r="F641" s="96"/>
      <c r="G641" s="11"/>
      <c r="U641" s="15"/>
    </row>
    <row r="642" spans="1:22" ht="14.45" customHeight="1">
      <c r="A642" s="59" t="s">
        <v>1156</v>
      </c>
      <c r="B642" s="20"/>
      <c r="C642" s="20"/>
      <c r="D642" s="20"/>
      <c r="E642" s="20"/>
      <c r="F642" s="103">
        <f>F620+F628+F630</f>
        <v>77886</v>
      </c>
      <c r="G642" s="20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2"/>
    </row>
    <row r="643" spans="1:22" ht="14.45" customHeight="1">
      <c r="A643" s="1123" t="s">
        <v>2266</v>
      </c>
      <c r="B643" s="1123"/>
      <c r="C643" s="1123"/>
      <c r="D643" s="1123"/>
      <c r="F643" s="80"/>
    </row>
    <row r="644" spans="1:22" ht="14.45" customHeight="1">
      <c r="A644" s="21"/>
      <c r="B644" s="21"/>
      <c r="C644" s="21"/>
      <c r="D644" s="21"/>
      <c r="E644" s="21"/>
      <c r="F644" s="107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</row>
    <row r="645" spans="1:22" ht="25.5" customHeight="1">
      <c r="A645" s="2" t="s">
        <v>1009</v>
      </c>
      <c r="B645" s="2" t="s">
        <v>1010</v>
      </c>
      <c r="C645" s="2" t="s">
        <v>1217</v>
      </c>
      <c r="D645" s="2" t="s">
        <v>1011</v>
      </c>
      <c r="E645" s="2" t="s">
        <v>207</v>
      </c>
      <c r="F645" s="2" t="s">
        <v>54</v>
      </c>
      <c r="G645" s="1119" t="s">
        <v>1766</v>
      </c>
      <c r="H645" s="1120"/>
      <c r="I645" s="1120"/>
      <c r="J645" s="1120"/>
      <c r="K645" s="1120"/>
      <c r="L645" s="1120"/>
      <c r="M645" s="1120"/>
      <c r="N645" s="1120"/>
      <c r="O645" s="1120"/>
      <c r="P645" s="1120"/>
      <c r="Q645" s="1120"/>
      <c r="R645" s="1120"/>
      <c r="S645" s="1120"/>
      <c r="T645" s="1120"/>
      <c r="U645" s="1121"/>
      <c r="V645" s="11"/>
    </row>
    <row r="646" spans="1:22" ht="14.45" customHeight="1">
      <c r="A646" s="11"/>
      <c r="B646" s="11"/>
      <c r="C646" s="11"/>
      <c r="D646" s="11"/>
      <c r="E646" s="11"/>
      <c r="F646" s="96"/>
      <c r="G646" s="11"/>
      <c r="U646" s="15"/>
      <c r="V646" s="11"/>
    </row>
    <row r="647" spans="1:22" ht="14.45" customHeight="1">
      <c r="A647" s="55" t="s">
        <v>1168</v>
      </c>
      <c r="B647" s="55" t="s">
        <v>1261</v>
      </c>
      <c r="C647" s="11"/>
      <c r="D647" s="55" t="s">
        <v>1328</v>
      </c>
      <c r="E647" s="11"/>
      <c r="F647" s="101"/>
      <c r="G647" s="101"/>
      <c r="H647" s="14"/>
      <c r="J647" s="28"/>
      <c r="L647" s="14"/>
      <c r="N647" s="28"/>
      <c r="O647" s="18"/>
      <c r="P647" s="14"/>
      <c r="R647" s="28"/>
      <c r="T647" s="28"/>
      <c r="U647" s="100"/>
      <c r="V647" s="11"/>
    </row>
    <row r="648" spans="1:22" ht="14.45" customHeight="1">
      <c r="A648" s="11"/>
      <c r="B648" s="11"/>
      <c r="C648" s="11"/>
      <c r="D648" s="11"/>
      <c r="E648" s="11"/>
      <c r="F648" s="96"/>
      <c r="G648" s="11"/>
      <c r="U648" s="15"/>
      <c r="V648" s="11"/>
    </row>
    <row r="649" spans="1:22" ht="14.45" customHeight="1">
      <c r="A649" s="11"/>
      <c r="B649" s="11"/>
      <c r="C649" s="11"/>
      <c r="D649" s="11"/>
      <c r="E649" s="11"/>
      <c r="F649" s="96"/>
      <c r="G649" s="11"/>
      <c r="U649" s="15"/>
      <c r="V649" s="11"/>
    </row>
    <row r="650" spans="1:22" ht="14.45" customHeight="1">
      <c r="A650" s="11"/>
      <c r="B650" s="11"/>
      <c r="C650" s="11"/>
      <c r="D650" s="11"/>
      <c r="E650" s="11"/>
      <c r="F650" s="96"/>
      <c r="G650" s="11"/>
      <c r="U650" s="15"/>
      <c r="V650" s="11"/>
    </row>
    <row r="651" spans="1:22" ht="14.45" customHeight="1">
      <c r="A651" s="11"/>
      <c r="B651" s="11"/>
      <c r="C651" s="11"/>
      <c r="D651" s="11"/>
      <c r="E651" s="11"/>
      <c r="F651" s="96"/>
      <c r="G651" s="11"/>
      <c r="U651" s="15"/>
      <c r="V651" s="11"/>
    </row>
    <row r="652" spans="1:22" ht="14.45" customHeight="1">
      <c r="A652" s="11"/>
      <c r="B652" s="11"/>
      <c r="C652" s="11"/>
      <c r="D652" s="11"/>
      <c r="E652" s="11"/>
      <c r="F652" s="96"/>
      <c r="G652" s="11"/>
      <c r="U652" s="15"/>
      <c r="V652" s="11"/>
    </row>
    <row r="653" spans="1:22" ht="14.45" customHeight="1">
      <c r="A653" s="20"/>
      <c r="B653" s="20"/>
      <c r="C653" s="20"/>
      <c r="D653" s="20"/>
      <c r="E653" s="20"/>
      <c r="F653" s="102"/>
      <c r="G653" s="20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2"/>
      <c r="V653" s="11"/>
    </row>
    <row r="654" spans="1:22" ht="14.45" customHeight="1">
      <c r="A654" s="11"/>
      <c r="B654" s="11"/>
      <c r="C654" s="11"/>
      <c r="D654" s="11"/>
      <c r="E654" s="11"/>
      <c r="F654" s="96"/>
      <c r="G654" s="11"/>
      <c r="U654" s="15"/>
      <c r="V654" s="11"/>
    </row>
    <row r="655" spans="1:22" ht="14.45" customHeight="1">
      <c r="A655" s="55" t="s">
        <v>1169</v>
      </c>
      <c r="B655" s="55" t="s">
        <v>1150</v>
      </c>
      <c r="C655" s="11">
        <v>1</v>
      </c>
      <c r="D655" s="55" t="s">
        <v>636</v>
      </c>
      <c r="E655" s="101">
        <f>자재!$F$18</f>
        <v>1695.23</v>
      </c>
      <c r="F655" s="97">
        <f>ROUNDDOWN(E655*C655,1)</f>
        <v>1695.2</v>
      </c>
      <c r="G655" s="11"/>
      <c r="U655" s="15"/>
      <c r="V655" s="11"/>
    </row>
    <row r="656" spans="1:22" ht="14.45" customHeight="1">
      <c r="A656" s="11"/>
      <c r="B656" s="11"/>
      <c r="C656" s="11"/>
      <c r="D656" s="11"/>
      <c r="E656" s="96"/>
      <c r="F656" s="11"/>
      <c r="G656" s="11"/>
      <c r="U656" s="15"/>
      <c r="V656" s="11"/>
    </row>
    <row r="657" spans="1:22" ht="14.45" customHeight="1">
      <c r="A657" s="11"/>
      <c r="B657" s="55" t="s">
        <v>1151</v>
      </c>
      <c r="C657" s="11">
        <v>0.1</v>
      </c>
      <c r="D657" s="11"/>
      <c r="E657" s="101">
        <f>F655</f>
        <v>1695.2</v>
      </c>
      <c r="F657" s="97">
        <f>ROUNDDOWN(E657*C657,1)</f>
        <v>169.5</v>
      </c>
      <c r="G657" s="11"/>
      <c r="U657" s="15"/>
      <c r="V657" s="11"/>
    </row>
    <row r="658" spans="1:22" ht="14.45" customHeight="1">
      <c r="A658" s="11"/>
      <c r="B658" s="11"/>
      <c r="C658" s="11"/>
      <c r="D658" s="11"/>
      <c r="E658" s="11"/>
      <c r="F658" s="96"/>
      <c r="G658" s="11"/>
      <c r="U658" s="15"/>
      <c r="V658" s="11"/>
    </row>
    <row r="659" spans="1:22" ht="14.45" customHeight="1">
      <c r="A659" s="11"/>
      <c r="B659" s="11"/>
      <c r="C659" s="11"/>
      <c r="D659" s="11"/>
      <c r="E659" s="11"/>
      <c r="F659" s="96"/>
      <c r="G659" s="11"/>
      <c r="U659" s="15"/>
      <c r="V659" s="11"/>
    </row>
    <row r="660" spans="1:22" ht="14.45" customHeight="1">
      <c r="A660" s="11"/>
      <c r="B660" s="11"/>
      <c r="C660" s="11"/>
      <c r="D660" s="11"/>
      <c r="E660" s="11"/>
      <c r="F660" s="96"/>
      <c r="G660" s="11"/>
      <c r="U660" s="15"/>
      <c r="V660" s="11"/>
    </row>
    <row r="661" spans="1:22" ht="14.45" customHeight="1">
      <c r="A661" s="11"/>
      <c r="B661" s="11"/>
      <c r="C661" s="11"/>
      <c r="D661" s="11"/>
      <c r="E661" s="11"/>
      <c r="F661" s="96"/>
      <c r="G661" s="11"/>
      <c r="U661" s="15"/>
      <c r="V661" s="11"/>
    </row>
    <row r="662" spans="1:22" ht="14.45" customHeight="1">
      <c r="A662" s="11"/>
      <c r="B662" s="11"/>
      <c r="C662" s="11"/>
      <c r="D662" s="11"/>
      <c r="E662" s="11"/>
      <c r="F662" s="96"/>
      <c r="G662" s="11"/>
      <c r="U662" s="15"/>
      <c r="V662" s="11"/>
    </row>
    <row r="663" spans="1:22" ht="14.45" customHeight="1">
      <c r="A663" s="20"/>
      <c r="B663" s="59" t="s">
        <v>1020</v>
      </c>
      <c r="C663" s="20"/>
      <c r="D663" s="20"/>
      <c r="E663" s="20"/>
      <c r="F663" s="103">
        <f>INT(F661+F659+F657+F655)</f>
        <v>1864</v>
      </c>
      <c r="G663" s="20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2"/>
      <c r="V663" s="11"/>
    </row>
    <row r="664" spans="1:22" ht="14.45" customHeight="1">
      <c r="A664" s="11"/>
      <c r="B664" s="11"/>
      <c r="C664" s="11"/>
      <c r="D664" s="11"/>
      <c r="E664" s="11"/>
      <c r="F664" s="96"/>
      <c r="G664" s="11"/>
      <c r="U664" s="15"/>
      <c r="V664" s="11"/>
    </row>
    <row r="665" spans="1:22" ht="14.45" customHeight="1">
      <c r="A665" s="55" t="s">
        <v>1170</v>
      </c>
      <c r="B665" s="114" t="s">
        <v>197</v>
      </c>
      <c r="C665" s="11"/>
      <c r="D665" s="11"/>
      <c r="E665" s="11"/>
      <c r="F665" s="105">
        <f>INT(H665*M665*O665)</f>
        <v>118</v>
      </c>
      <c r="G665" s="11"/>
      <c r="H665" s="1017">
        <v>233000</v>
      </c>
      <c r="I665" s="1017"/>
      <c r="J665" s="1017"/>
      <c r="K665" s="1017"/>
      <c r="L665" s="28" t="s">
        <v>921</v>
      </c>
      <c r="M665" s="106">
        <v>5101</v>
      </c>
      <c r="N665" s="10" t="s">
        <v>921</v>
      </c>
      <c r="O665" s="1017">
        <v>9.9999999999999995E-8</v>
      </c>
      <c r="P665" s="1017"/>
      <c r="Q665" s="1017"/>
      <c r="R665" s="1017"/>
      <c r="U665" s="15"/>
      <c r="V665" s="11"/>
    </row>
    <row r="666" spans="1:22" ht="14.45" customHeight="1">
      <c r="A666" s="11"/>
      <c r="B666" s="11"/>
      <c r="C666" s="11"/>
      <c r="D666" s="11"/>
      <c r="E666" s="11"/>
      <c r="F666" s="96"/>
      <c r="G666" s="11"/>
      <c r="U666" s="15"/>
      <c r="V666" s="11"/>
    </row>
    <row r="667" spans="1:22" ht="14.45" customHeight="1">
      <c r="A667" s="11"/>
      <c r="B667" s="55" t="s">
        <v>1152</v>
      </c>
      <c r="C667" s="11"/>
      <c r="D667" s="11"/>
      <c r="E667" s="11"/>
      <c r="F667" s="105">
        <f>INT(H667*M667*O667)</f>
        <v>82</v>
      </c>
      <c r="G667" s="11"/>
      <c r="H667" s="1017">
        <f>중기가격!E30</f>
        <v>164000</v>
      </c>
      <c r="I667" s="1017"/>
      <c r="J667" s="1017"/>
      <c r="K667" s="1017"/>
      <c r="L667" s="28" t="s">
        <v>921</v>
      </c>
      <c r="M667" s="106">
        <v>5000</v>
      </c>
      <c r="N667" s="10" t="s">
        <v>921</v>
      </c>
      <c r="O667" s="1017">
        <v>9.9999999999999995E-8</v>
      </c>
      <c r="P667" s="1017"/>
      <c r="Q667" s="1017"/>
      <c r="R667" s="1017"/>
      <c r="U667" s="15"/>
      <c r="V667" s="11"/>
    </row>
    <row r="668" spans="1:22" ht="14.45" customHeight="1">
      <c r="A668" s="11"/>
      <c r="B668" s="11"/>
      <c r="C668" s="11"/>
      <c r="D668" s="11"/>
      <c r="E668" s="11"/>
      <c r="F668" s="96"/>
      <c r="G668" s="11"/>
      <c r="U668" s="15"/>
      <c r="V668" s="11"/>
    </row>
    <row r="669" spans="1:22" ht="14.45" customHeight="1">
      <c r="A669" s="11"/>
      <c r="B669" s="11"/>
      <c r="C669" s="11"/>
      <c r="D669" s="11"/>
      <c r="E669" s="11"/>
      <c r="F669" s="96"/>
      <c r="G669" s="11"/>
      <c r="U669" s="15"/>
      <c r="V669" s="11"/>
    </row>
    <row r="670" spans="1:22" ht="14.45" customHeight="1">
      <c r="A670" s="11"/>
      <c r="B670" s="11"/>
      <c r="C670" s="11"/>
      <c r="D670" s="11"/>
      <c r="E670" s="11"/>
      <c r="F670" s="96"/>
      <c r="G670" s="11"/>
      <c r="U670" s="15"/>
      <c r="V670" s="11"/>
    </row>
    <row r="671" spans="1:22" ht="14.45" customHeight="1">
      <c r="A671" s="11"/>
      <c r="B671" s="11"/>
      <c r="C671" s="11"/>
      <c r="D671" s="11"/>
      <c r="E671" s="11"/>
      <c r="F671" s="96"/>
      <c r="G671" s="11"/>
      <c r="U671" s="15"/>
      <c r="V671" s="11"/>
    </row>
    <row r="672" spans="1:22" ht="14.45" customHeight="1">
      <c r="A672" s="20"/>
      <c r="B672" s="59" t="s">
        <v>1020</v>
      </c>
      <c r="C672" s="20"/>
      <c r="D672" s="20"/>
      <c r="E672" s="20"/>
      <c r="F672" s="103">
        <f>F665+F667</f>
        <v>200</v>
      </c>
      <c r="G672" s="20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2"/>
      <c r="V672" s="11"/>
    </row>
    <row r="673" spans="1:22" ht="14.45" customHeight="1">
      <c r="A673" s="11"/>
      <c r="B673" s="11"/>
      <c r="C673" s="11"/>
      <c r="D673" s="11"/>
      <c r="E673" s="11"/>
      <c r="F673" s="96"/>
      <c r="G673" s="11"/>
      <c r="U673" s="15"/>
      <c r="V673" s="11"/>
    </row>
    <row r="674" spans="1:22" ht="14.45" customHeight="1">
      <c r="A674" s="59" t="s">
        <v>1156</v>
      </c>
      <c r="B674" s="20"/>
      <c r="C674" s="20"/>
      <c r="D674" s="20"/>
      <c r="E674" s="20"/>
      <c r="F674" s="103">
        <f>F663+F672</f>
        <v>2064</v>
      </c>
      <c r="G674" s="20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2"/>
      <c r="V674" s="11"/>
    </row>
    <row r="675" spans="1:22" ht="14.45" customHeight="1">
      <c r="A675" s="90" t="s">
        <v>976</v>
      </c>
      <c r="B675" s="6"/>
      <c r="F675" s="80"/>
    </row>
    <row r="676" spans="1:22" ht="14.45" customHeight="1">
      <c r="A676" s="21"/>
      <c r="B676" s="21"/>
      <c r="C676" s="21"/>
      <c r="D676" s="21"/>
      <c r="E676" s="21"/>
      <c r="F676" s="107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</row>
    <row r="677" spans="1:22" ht="25.5" customHeight="1">
      <c r="A677" s="2" t="s">
        <v>1009</v>
      </c>
      <c r="B677" s="2" t="s">
        <v>1010</v>
      </c>
      <c r="C677" s="2" t="s">
        <v>1217</v>
      </c>
      <c r="D677" s="2" t="s">
        <v>1011</v>
      </c>
      <c r="E677" s="2" t="s">
        <v>207</v>
      </c>
      <c r="F677" s="2" t="s">
        <v>54</v>
      </c>
      <c r="G677" s="1119" t="s">
        <v>1766</v>
      </c>
      <c r="H677" s="1120"/>
      <c r="I677" s="1120"/>
      <c r="J677" s="1120"/>
      <c r="K677" s="1120"/>
      <c r="L677" s="1120"/>
      <c r="M677" s="1120"/>
      <c r="N677" s="1120"/>
      <c r="O677" s="1120"/>
      <c r="P677" s="1120"/>
      <c r="Q677" s="1120"/>
      <c r="R677" s="1120"/>
      <c r="S677" s="1120"/>
      <c r="T677" s="1120"/>
      <c r="U677" s="1121"/>
      <c r="V677" s="11"/>
    </row>
    <row r="678" spans="1:22" ht="14.45" customHeight="1">
      <c r="A678" s="11"/>
      <c r="B678" s="11"/>
      <c r="C678" s="11"/>
      <c r="D678" s="11"/>
      <c r="E678" s="11"/>
      <c r="F678" s="96"/>
      <c r="G678" s="11"/>
      <c r="U678" s="15"/>
      <c r="V678" s="11"/>
    </row>
    <row r="679" spans="1:22" ht="14.45" customHeight="1">
      <c r="A679" s="55" t="s">
        <v>1168</v>
      </c>
      <c r="B679" s="55" t="s">
        <v>1261</v>
      </c>
      <c r="C679" s="11">
        <v>1</v>
      </c>
      <c r="D679" s="55" t="s">
        <v>1328</v>
      </c>
      <c r="E679" s="111">
        <f>U679</f>
        <v>35608</v>
      </c>
      <c r="F679" s="97">
        <f>U679</f>
        <v>35608</v>
      </c>
      <c r="G679" s="101">
        <f>노임!F6</f>
        <v>170920</v>
      </c>
      <c r="H679" s="28" t="s">
        <v>683</v>
      </c>
      <c r="I679" s="28">
        <v>1</v>
      </c>
      <c r="J679" s="28" t="s">
        <v>682</v>
      </c>
      <c r="K679" s="28">
        <v>8</v>
      </c>
      <c r="L679" s="28" t="s">
        <v>683</v>
      </c>
      <c r="M679" s="28">
        <v>25</v>
      </c>
      <c r="N679" s="28" t="s">
        <v>682</v>
      </c>
      <c r="O679" s="28">
        <v>20</v>
      </c>
      <c r="P679" s="28" t="s">
        <v>683</v>
      </c>
      <c r="Q679" s="28">
        <v>16</v>
      </c>
      <c r="R679" s="28" t="s">
        <v>682</v>
      </c>
      <c r="S679" s="28">
        <v>12</v>
      </c>
      <c r="T679" s="28" t="s">
        <v>1167</v>
      </c>
      <c r="U679" s="99">
        <f>INT(G679*I679/K679*M679/O679*Q679/S679)</f>
        <v>35608</v>
      </c>
      <c r="V679" s="11"/>
    </row>
    <row r="680" spans="1:22" ht="14.45" customHeight="1">
      <c r="A680" s="11"/>
      <c r="B680" s="11"/>
      <c r="C680" s="11"/>
      <c r="D680" s="11"/>
      <c r="E680" s="11"/>
      <c r="F680" s="96"/>
      <c r="G680" s="11"/>
      <c r="U680" s="100"/>
      <c r="V680" s="11"/>
    </row>
    <row r="681" spans="1:22" ht="14.45" customHeight="1">
      <c r="A681" s="11"/>
      <c r="B681" s="11"/>
      <c r="C681" s="11"/>
      <c r="D681" s="11"/>
      <c r="E681" s="11"/>
      <c r="F681" s="97">
        <f>TRUNC((C681*E681),1)</f>
        <v>0</v>
      </c>
      <c r="G681" s="11"/>
      <c r="U681" s="99"/>
      <c r="V681" s="11"/>
    </row>
    <row r="682" spans="1:22" ht="14.45" customHeight="1">
      <c r="A682" s="11"/>
      <c r="B682" s="11"/>
      <c r="C682" s="11"/>
      <c r="D682" s="11"/>
      <c r="E682" s="11"/>
      <c r="F682" s="96"/>
      <c r="G682" s="11"/>
      <c r="U682" s="100"/>
      <c r="V682" s="11"/>
    </row>
    <row r="683" spans="1:22" ht="14.45" customHeight="1">
      <c r="A683" s="11"/>
      <c r="B683" s="11"/>
      <c r="C683" s="11"/>
      <c r="D683" s="11"/>
      <c r="E683" s="11"/>
      <c r="F683" s="97">
        <f>TRUNC((C683*E683),1)</f>
        <v>0</v>
      </c>
      <c r="G683" s="11"/>
      <c r="U683" s="99"/>
      <c r="V683" s="11"/>
    </row>
    <row r="684" spans="1:22" ht="14.45" customHeight="1">
      <c r="A684" s="11"/>
      <c r="B684" s="11"/>
      <c r="C684" s="11"/>
      <c r="D684" s="11"/>
      <c r="E684" s="11"/>
      <c r="F684" s="96"/>
      <c r="G684" s="11"/>
      <c r="U684" s="15"/>
      <c r="V684" s="11"/>
    </row>
    <row r="685" spans="1:22" ht="14.45" customHeight="1">
      <c r="A685" s="20"/>
      <c r="B685" s="59" t="s">
        <v>1020</v>
      </c>
      <c r="C685" s="20"/>
      <c r="D685" s="20"/>
      <c r="E685" s="20"/>
      <c r="F685" s="103">
        <f>F679</f>
        <v>35608</v>
      </c>
      <c r="G685" s="20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2"/>
      <c r="V685" s="11"/>
    </row>
    <row r="686" spans="1:22" ht="14.45" customHeight="1">
      <c r="A686" s="11"/>
      <c r="B686" s="11"/>
      <c r="C686" s="11"/>
      <c r="D686" s="11"/>
      <c r="E686" s="11"/>
      <c r="F686" s="96"/>
      <c r="G686" s="11"/>
      <c r="U686" s="15"/>
      <c r="V686" s="11"/>
    </row>
    <row r="687" spans="1:22" ht="14.45" customHeight="1">
      <c r="A687" s="55" t="s">
        <v>1169</v>
      </c>
      <c r="B687" s="55" t="s">
        <v>1146</v>
      </c>
      <c r="C687" s="11">
        <v>1.3</v>
      </c>
      <c r="D687" s="55" t="s">
        <v>636</v>
      </c>
      <c r="E687" s="101">
        <f>자재!$F$19</f>
        <v>1528.38</v>
      </c>
      <c r="F687" s="97">
        <f>ROUNDDOWN(E687*C687,1)</f>
        <v>1986.8</v>
      </c>
      <c r="G687" s="11"/>
      <c r="U687" s="15"/>
      <c r="V687" s="11"/>
    </row>
    <row r="688" spans="1:22" ht="14.45" customHeight="1">
      <c r="A688" s="11"/>
      <c r="B688" s="11"/>
      <c r="C688" s="11"/>
      <c r="D688" s="11"/>
      <c r="E688" s="11"/>
      <c r="F688" s="11"/>
      <c r="G688" s="11"/>
      <c r="U688" s="15"/>
      <c r="V688" s="11"/>
    </row>
    <row r="689" spans="1:22" ht="14.45" customHeight="1">
      <c r="A689" s="11"/>
      <c r="B689" s="55" t="s">
        <v>1153</v>
      </c>
      <c r="C689" s="11">
        <v>0.2</v>
      </c>
      <c r="D689" s="11"/>
      <c r="E689" s="101">
        <f>F687</f>
        <v>1986.8</v>
      </c>
      <c r="F689" s="97">
        <f>ROUNDDOWN(E689*C689,1)</f>
        <v>397.3</v>
      </c>
      <c r="G689" s="11"/>
      <c r="U689" s="15"/>
      <c r="V689" s="11"/>
    </row>
    <row r="690" spans="1:22" ht="14.45" customHeight="1">
      <c r="A690" s="11"/>
      <c r="B690" s="11"/>
      <c r="C690" s="11"/>
      <c r="D690" s="11"/>
      <c r="E690" s="11"/>
      <c r="F690" s="96"/>
      <c r="G690" s="11"/>
      <c r="U690" s="15"/>
      <c r="V690" s="11"/>
    </row>
    <row r="691" spans="1:22" ht="14.45" customHeight="1">
      <c r="A691" s="11"/>
      <c r="B691" s="11"/>
      <c r="C691" s="11"/>
      <c r="D691" s="11"/>
      <c r="E691" s="11"/>
      <c r="F691" s="96"/>
      <c r="G691" s="11"/>
      <c r="U691" s="15"/>
      <c r="V691" s="11"/>
    </row>
    <row r="692" spans="1:22" ht="14.45" customHeight="1">
      <c r="A692" s="11"/>
      <c r="B692" s="11"/>
      <c r="C692" s="11"/>
      <c r="D692" s="11"/>
      <c r="E692" s="11"/>
      <c r="F692" s="96"/>
      <c r="G692" s="11"/>
      <c r="U692" s="15"/>
      <c r="V692" s="11"/>
    </row>
    <row r="693" spans="1:22" ht="14.45" customHeight="1">
      <c r="A693" s="11"/>
      <c r="B693" s="11"/>
      <c r="C693" s="11"/>
      <c r="D693" s="11"/>
      <c r="E693" s="11"/>
      <c r="F693" s="96"/>
      <c r="G693" s="11"/>
      <c r="U693" s="15"/>
      <c r="V693" s="11"/>
    </row>
    <row r="694" spans="1:22" ht="14.45" customHeight="1">
      <c r="A694" s="11"/>
      <c r="B694" s="11"/>
      <c r="C694" s="11"/>
      <c r="D694" s="11"/>
      <c r="E694" s="11"/>
      <c r="F694" s="96"/>
      <c r="G694" s="11"/>
      <c r="U694" s="15"/>
      <c r="V694" s="11"/>
    </row>
    <row r="695" spans="1:22" ht="14.45" customHeight="1">
      <c r="A695" s="20"/>
      <c r="B695" s="59" t="s">
        <v>1020</v>
      </c>
      <c r="C695" s="20"/>
      <c r="D695" s="20"/>
      <c r="E695" s="20"/>
      <c r="F695" s="103">
        <f>INT(F693+F691+F689+F687)</f>
        <v>2384</v>
      </c>
      <c r="G695" s="20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2"/>
      <c r="V695" s="11"/>
    </row>
    <row r="696" spans="1:22" ht="14.45" customHeight="1">
      <c r="A696" s="11"/>
      <c r="B696" s="11"/>
      <c r="C696" s="11"/>
      <c r="D696" s="11"/>
      <c r="E696" s="11"/>
      <c r="F696" s="96"/>
      <c r="G696" s="11"/>
      <c r="U696" s="15"/>
      <c r="V696" s="11"/>
    </row>
    <row r="697" spans="1:22" ht="14.45" customHeight="1">
      <c r="A697" s="55" t="s">
        <v>1170</v>
      </c>
      <c r="B697" s="55" t="s">
        <v>1147</v>
      </c>
      <c r="C697" s="11"/>
      <c r="D697" s="11"/>
      <c r="E697" s="11"/>
      <c r="F697" s="105">
        <f>INT(H697*M697*O697)</f>
        <v>630</v>
      </c>
      <c r="G697" s="11"/>
      <c r="H697" s="1127">
        <v>1797000</v>
      </c>
      <c r="I697" s="1127"/>
      <c r="J697" s="1127"/>
      <c r="K697" s="1127"/>
      <c r="L697" s="28" t="s">
        <v>921</v>
      </c>
      <c r="M697" s="106">
        <v>3508</v>
      </c>
      <c r="N697" s="10" t="s">
        <v>921</v>
      </c>
      <c r="O697" s="1017">
        <v>9.9999999999999995E-8</v>
      </c>
      <c r="P697" s="1017"/>
      <c r="Q697" s="1017"/>
      <c r="R697" s="1017"/>
      <c r="U697" s="15"/>
      <c r="V697" s="11"/>
    </row>
    <row r="698" spans="1:22" ht="14.45" customHeight="1">
      <c r="A698" s="11"/>
      <c r="B698" s="11"/>
      <c r="C698" s="11"/>
      <c r="D698" s="11"/>
      <c r="E698" s="11"/>
      <c r="F698" s="96"/>
      <c r="G698" s="11"/>
      <c r="U698" s="15"/>
      <c r="V698" s="11"/>
    </row>
    <row r="699" spans="1:22" ht="14.45" customHeight="1">
      <c r="A699" s="11"/>
      <c r="B699" s="11"/>
      <c r="C699" s="11"/>
      <c r="D699" s="11"/>
      <c r="E699" s="11"/>
      <c r="F699" s="96"/>
      <c r="G699" s="11"/>
      <c r="U699" s="15"/>
      <c r="V699" s="11"/>
    </row>
    <row r="700" spans="1:22" ht="14.45" customHeight="1">
      <c r="A700" s="11"/>
      <c r="B700" s="11"/>
      <c r="C700" s="11"/>
      <c r="D700" s="11"/>
      <c r="E700" s="11"/>
      <c r="F700" s="96"/>
      <c r="G700" s="11"/>
      <c r="U700" s="15"/>
      <c r="V700" s="11"/>
    </row>
    <row r="701" spans="1:22" ht="14.45" customHeight="1">
      <c r="A701" s="11"/>
      <c r="B701" s="11"/>
      <c r="C701" s="11"/>
      <c r="D701" s="11"/>
      <c r="E701" s="11"/>
      <c r="F701" s="96"/>
      <c r="G701" s="11"/>
      <c r="U701" s="15"/>
      <c r="V701" s="11"/>
    </row>
    <row r="702" spans="1:22" ht="14.45" customHeight="1">
      <c r="A702" s="11"/>
      <c r="B702" s="11"/>
      <c r="C702" s="11"/>
      <c r="D702" s="11"/>
      <c r="E702" s="11"/>
      <c r="F702" s="96"/>
      <c r="G702" s="11"/>
      <c r="U702" s="15"/>
      <c r="V702" s="11"/>
    </row>
    <row r="703" spans="1:22" ht="14.45" customHeight="1">
      <c r="A703" s="11"/>
      <c r="B703" s="11"/>
      <c r="C703" s="11"/>
      <c r="D703" s="11"/>
      <c r="E703" s="11"/>
      <c r="F703" s="96"/>
      <c r="G703" s="11"/>
      <c r="U703" s="15"/>
      <c r="V703" s="11"/>
    </row>
    <row r="704" spans="1:22" ht="14.45" customHeight="1">
      <c r="A704" s="20"/>
      <c r="B704" s="20"/>
      <c r="C704" s="20"/>
      <c r="D704" s="20"/>
      <c r="E704" s="20"/>
      <c r="F704" s="102"/>
      <c r="G704" s="20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2"/>
      <c r="V704" s="11"/>
    </row>
    <row r="705" spans="1:22" ht="14.45" customHeight="1">
      <c r="A705" s="11"/>
      <c r="B705" s="11"/>
      <c r="C705" s="11"/>
      <c r="D705" s="11"/>
      <c r="E705" s="11"/>
      <c r="F705" s="96"/>
      <c r="G705" s="11"/>
      <c r="U705" s="15"/>
      <c r="V705" s="11"/>
    </row>
    <row r="706" spans="1:22" ht="14.45" customHeight="1">
      <c r="A706" s="59" t="s">
        <v>1156</v>
      </c>
      <c r="B706" s="20"/>
      <c r="C706" s="20"/>
      <c r="D706" s="20"/>
      <c r="E706" s="20"/>
      <c r="F706" s="103">
        <f>F685+F695+F697</f>
        <v>38622</v>
      </c>
      <c r="G706" s="20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2"/>
      <c r="V706" s="11"/>
    </row>
    <row r="707" spans="1:22" ht="14.45" customHeight="1">
      <c r="A707" s="1123" t="s">
        <v>977</v>
      </c>
      <c r="B707" s="1123"/>
      <c r="C707" s="1123"/>
      <c r="F707" s="80"/>
    </row>
    <row r="708" spans="1:22" ht="14.45" customHeight="1">
      <c r="A708" s="112"/>
      <c r="B708" s="113"/>
      <c r="C708" s="113"/>
      <c r="D708" s="113"/>
      <c r="E708" s="21"/>
      <c r="F708" s="107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</row>
    <row r="709" spans="1:22" ht="25.5" customHeight="1">
      <c r="A709" s="2" t="s">
        <v>1009</v>
      </c>
      <c r="B709" s="2" t="s">
        <v>1010</v>
      </c>
      <c r="C709" s="2" t="s">
        <v>1217</v>
      </c>
      <c r="D709" s="2" t="s">
        <v>1011</v>
      </c>
      <c r="E709" s="2" t="s">
        <v>207</v>
      </c>
      <c r="F709" s="2" t="s">
        <v>54</v>
      </c>
      <c r="G709" s="1119" t="s">
        <v>1766</v>
      </c>
      <c r="H709" s="1120"/>
      <c r="I709" s="1120"/>
      <c r="J709" s="1120"/>
      <c r="K709" s="1120"/>
      <c r="L709" s="1120"/>
      <c r="M709" s="1120"/>
      <c r="N709" s="1120"/>
      <c r="O709" s="1120"/>
      <c r="P709" s="1120"/>
      <c r="Q709" s="1120"/>
      <c r="R709" s="1120"/>
      <c r="S709" s="1120"/>
      <c r="T709" s="1120"/>
      <c r="U709" s="1121"/>
      <c r="V709" s="11"/>
    </row>
    <row r="710" spans="1:22" ht="14.45" customHeight="1">
      <c r="A710" s="11"/>
      <c r="B710" s="11"/>
      <c r="C710" s="11"/>
      <c r="D710" s="11"/>
      <c r="E710" s="11"/>
      <c r="F710" s="96"/>
      <c r="G710" s="11"/>
      <c r="U710" s="15"/>
    </row>
    <row r="711" spans="1:22" ht="14.45" customHeight="1">
      <c r="A711" s="55" t="s">
        <v>1168</v>
      </c>
      <c r="B711" s="55" t="s">
        <v>1261</v>
      </c>
      <c r="C711" s="11">
        <v>0</v>
      </c>
      <c r="D711" s="55" t="s">
        <v>1328</v>
      </c>
      <c r="E711" s="11"/>
      <c r="F711" s="97">
        <f>U711</f>
        <v>0</v>
      </c>
      <c r="G711" s="101">
        <f>노임!F35</f>
        <v>0</v>
      </c>
      <c r="H711" s="28" t="s">
        <v>683</v>
      </c>
      <c r="I711" s="28">
        <v>1</v>
      </c>
      <c r="J711" s="28" t="s">
        <v>682</v>
      </c>
      <c r="K711" s="28">
        <v>8</v>
      </c>
      <c r="L711" s="28" t="s">
        <v>683</v>
      </c>
      <c r="M711" s="28">
        <v>25</v>
      </c>
      <c r="N711" s="28" t="s">
        <v>682</v>
      </c>
      <c r="O711" s="28">
        <v>20</v>
      </c>
      <c r="P711" s="28" t="s">
        <v>683</v>
      </c>
      <c r="Q711" s="28">
        <v>16</v>
      </c>
      <c r="R711" s="28" t="s">
        <v>682</v>
      </c>
      <c r="S711" s="28">
        <v>12</v>
      </c>
      <c r="T711" s="28" t="s">
        <v>1167</v>
      </c>
      <c r="U711" s="99">
        <f>INT(G711*I711/K711*M711/O711*Q711/S711)</f>
        <v>0</v>
      </c>
    </row>
    <row r="712" spans="1:22" ht="14.45" customHeight="1">
      <c r="A712" s="11"/>
      <c r="B712" s="11"/>
      <c r="C712" s="11"/>
      <c r="D712" s="11"/>
      <c r="E712" s="11"/>
      <c r="F712" s="96"/>
      <c r="G712" s="11"/>
      <c r="U712" s="100"/>
    </row>
    <row r="713" spans="1:22" ht="14.45" customHeight="1">
      <c r="A713" s="11"/>
      <c r="B713" s="11"/>
      <c r="C713" s="11"/>
      <c r="D713" s="11"/>
      <c r="E713" s="11"/>
      <c r="F713" s="97">
        <f>TRUNC((C713*E713),1)</f>
        <v>0</v>
      </c>
      <c r="G713" s="11"/>
      <c r="U713" s="99"/>
    </row>
    <row r="714" spans="1:22" ht="14.45" customHeight="1">
      <c r="A714" s="11"/>
      <c r="B714" s="11"/>
      <c r="C714" s="11"/>
      <c r="D714" s="11"/>
      <c r="E714" s="11"/>
      <c r="F714" s="96"/>
      <c r="G714" s="11"/>
      <c r="U714" s="100"/>
    </row>
    <row r="715" spans="1:22" ht="14.45" customHeight="1">
      <c r="A715" s="11"/>
      <c r="B715" s="11"/>
      <c r="C715" s="11"/>
      <c r="D715" s="11"/>
      <c r="E715" s="11"/>
      <c r="F715" s="97">
        <f>TRUNC((C715*E715),1)</f>
        <v>0</v>
      </c>
      <c r="G715" s="11"/>
      <c r="U715" s="99"/>
    </row>
    <row r="716" spans="1:22" ht="14.45" customHeight="1">
      <c r="A716" s="20"/>
      <c r="B716" s="59" t="s">
        <v>1020</v>
      </c>
      <c r="C716" s="20"/>
      <c r="D716" s="20"/>
      <c r="E716" s="20"/>
      <c r="F716" s="103">
        <f>INT(F711)</f>
        <v>0</v>
      </c>
      <c r="G716" s="20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2"/>
    </row>
    <row r="717" spans="1:22" ht="14.45" customHeight="1">
      <c r="A717" s="11"/>
      <c r="B717" s="11"/>
      <c r="C717" s="11"/>
      <c r="D717" s="11"/>
      <c r="E717" s="11"/>
      <c r="F717" s="96"/>
      <c r="G717" s="11"/>
      <c r="U717" s="15"/>
    </row>
    <row r="718" spans="1:22" ht="14.45" customHeight="1">
      <c r="A718" s="11"/>
      <c r="B718" s="11"/>
      <c r="C718" s="11"/>
      <c r="D718" s="11"/>
      <c r="E718" s="11"/>
      <c r="F718" s="96"/>
      <c r="G718" s="11"/>
      <c r="U718" s="15"/>
    </row>
    <row r="719" spans="1:22" ht="14.45" customHeight="1">
      <c r="A719" s="55" t="s">
        <v>1169</v>
      </c>
      <c r="B719" s="55" t="s">
        <v>1146</v>
      </c>
      <c r="C719" s="11">
        <v>0</v>
      </c>
      <c r="D719" s="55" t="s">
        <v>636</v>
      </c>
      <c r="E719" s="101">
        <f>자재!$F$19</f>
        <v>1528.38</v>
      </c>
      <c r="F719" s="97">
        <f>ROUNDDOWN(E719*C719,1)</f>
        <v>0</v>
      </c>
      <c r="G719" s="11"/>
      <c r="U719" s="15"/>
    </row>
    <row r="720" spans="1:22" ht="14.45" customHeight="1">
      <c r="A720" s="11"/>
      <c r="B720" s="11"/>
      <c r="C720" s="11"/>
      <c r="D720" s="11"/>
      <c r="E720" s="11"/>
      <c r="F720" s="11"/>
      <c r="G720" s="11"/>
      <c r="U720" s="15"/>
    </row>
    <row r="721" spans="1:21" ht="14.45" customHeight="1">
      <c r="A721" s="11"/>
      <c r="B721" s="55" t="s">
        <v>1153</v>
      </c>
      <c r="C721" s="11">
        <v>0</v>
      </c>
      <c r="D721" s="11"/>
      <c r="E721" s="101">
        <f>F719</f>
        <v>0</v>
      </c>
      <c r="F721" s="97">
        <f>ROUNDDOWN(E721*C721,1)</f>
        <v>0</v>
      </c>
      <c r="G721" s="11"/>
      <c r="U721" s="15"/>
    </row>
    <row r="722" spans="1:21" ht="14.45" customHeight="1">
      <c r="A722" s="11"/>
      <c r="B722" s="11"/>
      <c r="C722" s="11"/>
      <c r="D722" s="11"/>
      <c r="E722" s="11"/>
      <c r="F722" s="96"/>
      <c r="G722" s="11"/>
      <c r="U722" s="15"/>
    </row>
    <row r="723" spans="1:21" ht="14.45" customHeight="1">
      <c r="A723" s="11"/>
      <c r="B723" s="11"/>
      <c r="C723" s="11"/>
      <c r="D723" s="11"/>
      <c r="E723" s="11"/>
      <c r="F723" s="96"/>
      <c r="G723" s="11"/>
      <c r="U723" s="15"/>
    </row>
    <row r="724" spans="1:21" ht="14.45" customHeight="1">
      <c r="A724" s="20"/>
      <c r="B724" s="59" t="s">
        <v>1020</v>
      </c>
      <c r="C724" s="20"/>
      <c r="D724" s="20"/>
      <c r="E724" s="20"/>
      <c r="F724" s="103">
        <f>INT(F721+F719)</f>
        <v>0</v>
      </c>
      <c r="G724" s="20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2"/>
    </row>
    <row r="725" spans="1:21" ht="14.45" customHeight="1">
      <c r="A725" s="11"/>
      <c r="B725" s="11"/>
      <c r="C725" s="11"/>
      <c r="D725" s="11"/>
      <c r="E725" s="11"/>
      <c r="F725" s="96"/>
      <c r="G725" s="11"/>
      <c r="U725" s="15"/>
    </row>
    <row r="726" spans="1:21" ht="14.45" customHeight="1">
      <c r="A726" s="55" t="s">
        <v>1170</v>
      </c>
      <c r="B726" s="55" t="s">
        <v>1147</v>
      </c>
      <c r="C726" s="11"/>
      <c r="D726" s="11"/>
      <c r="E726" s="11"/>
      <c r="F726" s="105">
        <f>INT(H726*M726*O726)</f>
        <v>10339</v>
      </c>
      <c r="G726" s="11"/>
      <c r="H726" s="1017">
        <f>중기가격!E17</f>
        <v>15827000</v>
      </c>
      <c r="I726" s="1017"/>
      <c r="J726" s="1017"/>
      <c r="K726" s="1017"/>
      <c r="L726" s="28" t="s">
        <v>921</v>
      </c>
      <c r="M726" s="106">
        <v>6533</v>
      </c>
      <c r="N726" s="10" t="s">
        <v>921</v>
      </c>
      <c r="O726" s="1017">
        <v>9.9999999999999995E-8</v>
      </c>
      <c r="P726" s="1017"/>
      <c r="Q726" s="1017"/>
      <c r="R726" s="1017"/>
      <c r="U726" s="15"/>
    </row>
    <row r="727" spans="1:21" ht="14.45" customHeight="1">
      <c r="A727" s="11"/>
      <c r="B727" s="11"/>
      <c r="C727" s="11"/>
      <c r="D727" s="11"/>
      <c r="E727" s="11"/>
      <c r="F727" s="96"/>
      <c r="G727" s="11"/>
      <c r="U727" s="15"/>
    </row>
    <row r="728" spans="1:21" ht="14.45" customHeight="1">
      <c r="A728" s="11"/>
      <c r="B728" s="11"/>
      <c r="C728" s="11"/>
      <c r="D728" s="11"/>
      <c r="E728" s="11"/>
      <c r="F728" s="96"/>
      <c r="G728" s="11"/>
      <c r="U728" s="15"/>
    </row>
    <row r="729" spans="1:21" ht="14.45" customHeight="1">
      <c r="A729" s="11"/>
      <c r="B729" s="11"/>
      <c r="C729" s="11"/>
      <c r="D729" s="11"/>
      <c r="E729" s="11"/>
      <c r="F729" s="96"/>
      <c r="G729" s="11"/>
      <c r="U729" s="15"/>
    </row>
    <row r="730" spans="1:21" ht="14.45" customHeight="1">
      <c r="A730" s="11"/>
      <c r="B730" s="11"/>
      <c r="C730" s="11"/>
      <c r="D730" s="11"/>
      <c r="E730" s="11"/>
      <c r="F730" s="96"/>
      <c r="G730" s="11"/>
      <c r="U730" s="15"/>
    </row>
    <row r="731" spans="1:21" ht="14.45" customHeight="1">
      <c r="A731" s="11"/>
      <c r="B731" s="11"/>
      <c r="C731" s="11"/>
      <c r="D731" s="11"/>
      <c r="E731" s="11"/>
      <c r="F731" s="96"/>
      <c r="G731" s="11"/>
      <c r="U731" s="15"/>
    </row>
    <row r="732" spans="1:21" ht="14.45" customHeight="1">
      <c r="A732" s="11"/>
      <c r="B732" s="11"/>
      <c r="C732" s="11"/>
      <c r="D732" s="11"/>
      <c r="E732" s="11"/>
      <c r="F732" s="96"/>
      <c r="G732" s="11"/>
      <c r="U732" s="15"/>
    </row>
    <row r="733" spans="1:21" ht="14.45" customHeight="1">
      <c r="A733" s="11"/>
      <c r="B733" s="11"/>
      <c r="C733" s="11"/>
      <c r="D733" s="11"/>
      <c r="E733" s="11"/>
      <c r="F733" s="96"/>
      <c r="G733" s="11"/>
      <c r="U733" s="15"/>
    </row>
    <row r="734" spans="1:21" ht="14.45" customHeight="1">
      <c r="A734" s="11"/>
      <c r="B734" s="11"/>
      <c r="C734" s="11"/>
      <c r="D734" s="11"/>
      <c r="E734" s="11"/>
      <c r="F734" s="96"/>
      <c r="G734" s="11"/>
      <c r="U734" s="15"/>
    </row>
    <row r="735" spans="1:21" ht="14.45" customHeight="1">
      <c r="A735" s="11"/>
      <c r="B735" s="11"/>
      <c r="C735" s="11"/>
      <c r="D735" s="11"/>
      <c r="E735" s="11"/>
      <c r="F735" s="96"/>
      <c r="G735" s="11"/>
      <c r="U735" s="15"/>
    </row>
    <row r="736" spans="1:21" ht="14.45" customHeight="1">
      <c r="A736" s="20"/>
      <c r="B736" s="20"/>
      <c r="C736" s="20"/>
      <c r="D736" s="20"/>
      <c r="E736" s="20"/>
      <c r="F736" s="102"/>
      <c r="G736" s="20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2"/>
    </row>
    <row r="737" spans="1:22" ht="14.45" customHeight="1">
      <c r="A737" s="11"/>
      <c r="B737" s="11"/>
      <c r="C737" s="11"/>
      <c r="D737" s="11"/>
      <c r="E737" s="11"/>
      <c r="F737" s="96"/>
      <c r="G737" s="11"/>
      <c r="U737" s="15"/>
    </row>
    <row r="738" spans="1:22" ht="14.45" customHeight="1">
      <c r="A738" s="59" t="s">
        <v>1156</v>
      </c>
      <c r="B738" s="20"/>
      <c r="C738" s="20"/>
      <c r="D738" s="20"/>
      <c r="E738" s="20"/>
      <c r="F738" s="103">
        <f>F716+F724+F726</f>
        <v>10339</v>
      </c>
      <c r="G738" s="20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2"/>
    </row>
    <row r="739" spans="1:22" ht="14.45" customHeight="1">
      <c r="A739" s="31" t="s">
        <v>2103</v>
      </c>
      <c r="C739" s="118"/>
      <c r="F739" s="80"/>
    </row>
    <row r="740" spans="1:22" ht="14.45" customHeight="1">
      <c r="A740" s="112"/>
      <c r="B740" s="113"/>
      <c r="C740" s="113"/>
      <c r="D740" s="113"/>
      <c r="E740" s="21"/>
      <c r="F740" s="107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</row>
    <row r="741" spans="1:22" ht="25.5" customHeight="1">
      <c r="A741" s="2" t="s">
        <v>1009</v>
      </c>
      <c r="B741" s="2" t="s">
        <v>1010</v>
      </c>
      <c r="C741" s="2" t="s">
        <v>1217</v>
      </c>
      <c r="D741" s="2" t="s">
        <v>1011</v>
      </c>
      <c r="E741" s="2" t="s">
        <v>207</v>
      </c>
      <c r="F741" s="2" t="s">
        <v>54</v>
      </c>
      <c r="G741" s="1119" t="s">
        <v>1766</v>
      </c>
      <c r="H741" s="1120"/>
      <c r="I741" s="1120"/>
      <c r="J741" s="1120"/>
      <c r="K741" s="1120"/>
      <c r="L741" s="1120"/>
      <c r="M741" s="1120"/>
      <c r="N741" s="1120"/>
      <c r="O741" s="1120"/>
      <c r="P741" s="1120"/>
      <c r="Q741" s="1120"/>
      <c r="R741" s="1120"/>
      <c r="S741" s="1120"/>
      <c r="T741" s="1120"/>
      <c r="U741" s="1121"/>
      <c r="V741" s="11"/>
    </row>
    <row r="742" spans="1:22" ht="14.45" customHeight="1">
      <c r="A742" s="11"/>
      <c r="B742" s="11"/>
      <c r="C742" s="11"/>
      <c r="D742" s="11"/>
      <c r="E742" s="11"/>
      <c r="F742" s="96"/>
      <c r="G742" s="11"/>
      <c r="U742" s="15"/>
    </row>
    <row r="743" spans="1:22" ht="14.45" customHeight="1">
      <c r="A743" s="55" t="s">
        <v>1168</v>
      </c>
      <c r="B743" s="55" t="s">
        <v>978</v>
      </c>
      <c r="C743" s="11">
        <v>1</v>
      </c>
      <c r="D743" s="55" t="s">
        <v>1328</v>
      </c>
      <c r="E743" s="111">
        <f>+U743</f>
        <v>35608</v>
      </c>
      <c r="F743" s="97">
        <f>TRUNC((C743*E743),1)</f>
        <v>35608</v>
      </c>
      <c r="G743" s="101">
        <f>노임!F6</f>
        <v>170920</v>
      </c>
      <c r="H743" s="28" t="s">
        <v>683</v>
      </c>
      <c r="I743" s="28">
        <v>1</v>
      </c>
      <c r="J743" s="28" t="s">
        <v>682</v>
      </c>
      <c r="K743" s="28">
        <v>8</v>
      </c>
      <c r="L743" s="28" t="s">
        <v>683</v>
      </c>
      <c r="M743" s="28">
        <v>25</v>
      </c>
      <c r="N743" s="28" t="s">
        <v>682</v>
      </c>
      <c r="O743" s="28">
        <v>20</v>
      </c>
      <c r="P743" s="28" t="s">
        <v>683</v>
      </c>
      <c r="Q743" s="28">
        <v>16</v>
      </c>
      <c r="R743" s="28" t="s">
        <v>682</v>
      </c>
      <c r="S743" s="28">
        <v>12</v>
      </c>
      <c r="T743" s="28" t="s">
        <v>1167</v>
      </c>
      <c r="U743" s="99">
        <f>INT(G743*I743/K743*M743/O743*Q743/S743)</f>
        <v>35608</v>
      </c>
    </row>
    <row r="744" spans="1:22" ht="14.45" customHeight="1">
      <c r="A744" s="11"/>
      <c r="B744" s="11"/>
      <c r="C744" s="11"/>
      <c r="D744" s="11"/>
      <c r="E744" s="11"/>
      <c r="F744" s="96"/>
      <c r="G744" s="11"/>
      <c r="U744" s="100"/>
    </row>
    <row r="745" spans="1:22" ht="14.45" customHeight="1">
      <c r="A745" s="11"/>
      <c r="B745" s="11"/>
      <c r="C745" s="11"/>
      <c r="D745" s="11"/>
      <c r="E745" s="11"/>
      <c r="F745" s="97">
        <f>TRUNC((C745*E745),1)</f>
        <v>0</v>
      </c>
      <c r="G745" s="11"/>
      <c r="U745" s="99"/>
    </row>
    <row r="746" spans="1:22" ht="14.45" customHeight="1">
      <c r="A746" s="11"/>
      <c r="B746" s="11"/>
      <c r="C746" s="11"/>
      <c r="D746" s="11"/>
      <c r="E746" s="11"/>
      <c r="F746" s="97"/>
      <c r="G746" s="11"/>
      <c r="U746" s="99"/>
    </row>
    <row r="747" spans="1:22" ht="14.45" customHeight="1">
      <c r="A747" s="11"/>
      <c r="B747" s="11"/>
      <c r="C747" s="11"/>
      <c r="D747" s="11"/>
      <c r="E747" s="11"/>
      <c r="F747" s="97"/>
      <c r="G747" s="11"/>
      <c r="U747" s="99"/>
    </row>
    <row r="748" spans="1:22" ht="14.45" customHeight="1">
      <c r="A748" s="11"/>
      <c r="B748" s="11"/>
      <c r="C748" s="11"/>
      <c r="D748" s="11"/>
      <c r="E748" s="11"/>
      <c r="F748" s="96"/>
      <c r="G748" s="11"/>
      <c r="U748" s="100"/>
    </row>
    <row r="749" spans="1:22" ht="14.45" customHeight="1">
      <c r="A749" s="11"/>
      <c r="B749" s="11"/>
      <c r="C749" s="11"/>
      <c r="D749" s="11"/>
      <c r="E749" s="11"/>
      <c r="F749" s="97">
        <f>TRUNC((C749*E749),1)</f>
        <v>0</v>
      </c>
      <c r="G749" s="11"/>
      <c r="U749" s="99"/>
    </row>
    <row r="750" spans="1:22" ht="14.45" customHeight="1">
      <c r="A750" s="20"/>
      <c r="B750" s="59" t="s">
        <v>1020</v>
      </c>
      <c r="C750" s="20"/>
      <c r="D750" s="20"/>
      <c r="E750" s="20"/>
      <c r="F750" s="103">
        <f>INT(F743)</f>
        <v>35608</v>
      </c>
      <c r="G750" s="20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2"/>
    </row>
    <row r="751" spans="1:22" ht="14.45" customHeight="1">
      <c r="A751" s="11"/>
      <c r="B751" s="11"/>
      <c r="C751" s="11"/>
      <c r="D751" s="11"/>
      <c r="E751" s="11"/>
      <c r="F751" s="96"/>
      <c r="G751" s="11"/>
      <c r="U751" s="15"/>
    </row>
    <row r="752" spans="1:22" ht="14.45" customHeight="1">
      <c r="A752" s="55" t="s">
        <v>1169</v>
      </c>
      <c r="B752" s="55" t="s">
        <v>2104</v>
      </c>
      <c r="C752" s="11">
        <v>5.6</v>
      </c>
      <c r="D752" s="55" t="s">
        <v>636</v>
      </c>
      <c r="E752" s="104">
        <f>자재!F18</f>
        <v>1695.23</v>
      </c>
      <c r="F752" s="97">
        <f>ROUNDDOWN(E752*C752,1)</f>
        <v>9493.2000000000007</v>
      </c>
      <c r="G752" s="11"/>
      <c r="U752" s="15"/>
    </row>
    <row r="753" spans="1:21" ht="14.45" customHeight="1">
      <c r="A753" s="11"/>
      <c r="B753" s="11"/>
      <c r="C753" s="11"/>
      <c r="D753" s="11"/>
      <c r="E753" s="11"/>
      <c r="F753" s="11"/>
      <c r="G753" s="11"/>
      <c r="U753" s="15"/>
    </row>
    <row r="754" spans="1:21" ht="14.45" customHeight="1">
      <c r="A754" s="11"/>
      <c r="B754" s="55"/>
      <c r="C754" s="11">
        <v>0.2</v>
      </c>
      <c r="D754" s="11"/>
      <c r="E754" s="101">
        <f>F752</f>
        <v>9493.2000000000007</v>
      </c>
      <c r="F754" s="97">
        <f>ROUNDDOWN(E754*C754,1)</f>
        <v>1898.6</v>
      </c>
      <c r="G754" s="11"/>
      <c r="U754" s="15"/>
    </row>
    <row r="755" spans="1:21" ht="14.45" customHeight="1">
      <c r="A755" s="11"/>
      <c r="B755" s="55"/>
      <c r="C755" s="11"/>
      <c r="D755" s="11"/>
      <c r="E755" s="101"/>
      <c r="F755" s="97"/>
      <c r="G755" s="11"/>
      <c r="U755" s="15"/>
    </row>
    <row r="756" spans="1:21" ht="14.45" customHeight="1">
      <c r="A756" s="11"/>
      <c r="B756" s="55"/>
      <c r="C756" s="11"/>
      <c r="D756" s="11"/>
      <c r="E756" s="101"/>
      <c r="F756" s="97"/>
      <c r="G756" s="11"/>
      <c r="U756" s="15"/>
    </row>
    <row r="757" spans="1:21" ht="14.45" customHeight="1">
      <c r="A757" s="11"/>
      <c r="B757" s="55"/>
      <c r="C757" s="11"/>
      <c r="D757" s="11"/>
      <c r="E757" s="101"/>
      <c r="F757" s="97"/>
      <c r="G757" s="11"/>
      <c r="U757" s="15"/>
    </row>
    <row r="758" spans="1:21" ht="14.45" customHeight="1">
      <c r="A758" s="11"/>
      <c r="B758" s="55"/>
      <c r="C758" s="11"/>
      <c r="D758" s="11"/>
      <c r="E758" s="101"/>
      <c r="F758" s="97"/>
      <c r="G758" s="11"/>
      <c r="U758" s="15"/>
    </row>
    <row r="759" spans="1:21" ht="14.45" customHeight="1">
      <c r="A759" s="20"/>
      <c r="B759" s="59" t="s">
        <v>1020</v>
      </c>
      <c r="C759" s="20"/>
      <c r="D759" s="20"/>
      <c r="E759" s="20"/>
      <c r="F759" s="103">
        <f>INT(F754+F752)</f>
        <v>11391</v>
      </c>
      <c r="G759" s="20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2"/>
    </row>
    <row r="760" spans="1:21" ht="14.45" customHeight="1">
      <c r="A760" s="119"/>
      <c r="B760" s="119"/>
      <c r="C760" s="119"/>
      <c r="D760" s="119"/>
      <c r="E760" s="119"/>
      <c r="F760" s="120"/>
      <c r="U760" s="15"/>
    </row>
    <row r="761" spans="1:21" ht="14.45" customHeight="1">
      <c r="A761" s="121" t="s">
        <v>1170</v>
      </c>
      <c r="B761" s="121" t="s">
        <v>1147</v>
      </c>
      <c r="C761" s="110"/>
      <c r="D761" s="110"/>
      <c r="E761" s="110"/>
      <c r="F761" s="122">
        <f>INT(H761*M761*O761)</f>
        <v>1460</v>
      </c>
      <c r="H761" s="1017">
        <f>중기가격!E76</f>
        <v>2331000</v>
      </c>
      <c r="I761" s="1017"/>
      <c r="J761" s="1017"/>
      <c r="K761" s="1017"/>
      <c r="L761" s="28" t="s">
        <v>921</v>
      </c>
      <c r="M761" s="106">
        <v>6266</v>
      </c>
      <c r="N761" s="10" t="s">
        <v>921</v>
      </c>
      <c r="O761" s="1017">
        <v>9.9999999999999995E-8</v>
      </c>
      <c r="P761" s="1017"/>
      <c r="Q761" s="1017"/>
      <c r="R761" s="28"/>
      <c r="U761" s="15"/>
    </row>
    <row r="762" spans="1:21" ht="14.45" customHeight="1">
      <c r="A762" s="110"/>
      <c r="B762" s="110"/>
      <c r="C762" s="110"/>
      <c r="D762" s="110"/>
      <c r="E762" s="110"/>
      <c r="F762" s="110"/>
    </row>
    <row r="763" spans="1:21" ht="14.45" customHeight="1">
      <c r="A763" s="121"/>
      <c r="B763" s="121"/>
      <c r="C763" s="110"/>
      <c r="D763" s="110"/>
      <c r="E763" s="110"/>
      <c r="F763" s="122"/>
      <c r="H763" s="92"/>
      <c r="I763" s="92"/>
      <c r="J763" s="92"/>
      <c r="K763" s="92"/>
      <c r="L763" s="28"/>
      <c r="M763" s="106"/>
      <c r="O763" s="28"/>
      <c r="P763" s="28"/>
      <c r="Q763" s="28"/>
      <c r="R763" s="28"/>
      <c r="U763" s="15"/>
    </row>
    <row r="764" spans="1:21" ht="14.45" customHeight="1">
      <c r="A764" s="121"/>
      <c r="B764" s="121"/>
      <c r="C764" s="110"/>
      <c r="D764" s="110"/>
      <c r="E764" s="110"/>
      <c r="F764" s="122"/>
      <c r="H764" s="92"/>
      <c r="I764" s="92"/>
      <c r="J764" s="92"/>
      <c r="K764" s="92"/>
      <c r="L764" s="28"/>
      <c r="M764" s="106"/>
      <c r="O764" s="28"/>
      <c r="P764" s="28"/>
      <c r="Q764" s="28"/>
      <c r="R764" s="28"/>
      <c r="U764" s="15"/>
    </row>
    <row r="765" spans="1:21" ht="14.45" customHeight="1">
      <c r="A765" s="121"/>
      <c r="B765" s="121"/>
      <c r="C765" s="110"/>
      <c r="D765" s="110"/>
      <c r="E765" s="110"/>
      <c r="F765" s="122"/>
      <c r="H765" s="92"/>
      <c r="I765" s="92"/>
      <c r="J765" s="92"/>
      <c r="K765" s="92"/>
      <c r="L765" s="28"/>
      <c r="M765" s="106"/>
      <c r="O765" s="28"/>
      <c r="P765" s="28"/>
      <c r="Q765" s="28"/>
      <c r="R765" s="28"/>
      <c r="U765" s="15"/>
    </row>
    <row r="766" spans="1:21" ht="14.45" customHeight="1">
      <c r="A766" s="121"/>
      <c r="B766" s="121"/>
      <c r="C766" s="110"/>
      <c r="D766" s="110"/>
      <c r="E766" s="110"/>
      <c r="F766" s="122"/>
      <c r="H766" s="92"/>
      <c r="I766" s="92"/>
      <c r="J766" s="92"/>
      <c r="K766" s="92"/>
      <c r="L766" s="28"/>
      <c r="M766" s="106"/>
      <c r="O766" s="28"/>
      <c r="P766" s="28"/>
      <c r="Q766" s="28"/>
      <c r="R766" s="28"/>
      <c r="U766" s="15"/>
    </row>
    <row r="767" spans="1:21" ht="14.45" customHeight="1">
      <c r="A767" s="121"/>
      <c r="B767" s="121"/>
      <c r="C767" s="110"/>
      <c r="D767" s="110"/>
      <c r="E767" s="110"/>
      <c r="F767" s="122"/>
      <c r="H767" s="92"/>
      <c r="I767" s="92"/>
      <c r="J767" s="92"/>
      <c r="K767" s="92"/>
      <c r="L767" s="28"/>
      <c r="M767" s="106"/>
      <c r="O767" s="28"/>
      <c r="P767" s="28"/>
      <c r="Q767" s="28"/>
      <c r="R767" s="28"/>
      <c r="U767" s="15"/>
    </row>
    <row r="768" spans="1:21" ht="14.45" customHeight="1">
      <c r="A768" s="121"/>
      <c r="B768" s="121"/>
      <c r="C768" s="110"/>
      <c r="D768" s="110"/>
      <c r="E768" s="110"/>
      <c r="F768" s="122"/>
      <c r="H768" s="92"/>
      <c r="I768" s="92"/>
      <c r="J768" s="92"/>
      <c r="K768" s="92"/>
      <c r="L768" s="28"/>
      <c r="M768" s="106"/>
      <c r="O768" s="28"/>
      <c r="P768" s="28"/>
      <c r="Q768" s="28"/>
      <c r="R768" s="28"/>
      <c r="U768" s="15"/>
    </row>
    <row r="769" spans="1:22" ht="14.45" customHeight="1">
      <c r="A769" s="119"/>
      <c r="B769" s="119"/>
      <c r="C769" s="119"/>
      <c r="D769" s="119"/>
      <c r="E769" s="119"/>
      <c r="F769" s="120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9"/>
    </row>
    <row r="770" spans="1:22" ht="14.45" customHeight="1">
      <c r="A770" s="57" t="s">
        <v>1156</v>
      </c>
      <c r="B770" s="123"/>
      <c r="C770" s="123"/>
      <c r="D770" s="123"/>
      <c r="E770" s="123"/>
      <c r="F770" s="124">
        <f>F750+F759+F761</f>
        <v>48459</v>
      </c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2"/>
    </row>
    <row r="771" spans="1:22" ht="14.45" customHeight="1">
      <c r="A771" s="90" t="s">
        <v>979</v>
      </c>
      <c r="B771" s="6"/>
      <c r="F771" s="80"/>
    </row>
    <row r="772" spans="1:22" ht="14.45" customHeight="1">
      <c r="A772" s="21"/>
      <c r="B772" s="21"/>
      <c r="C772" s="21"/>
      <c r="D772" s="21"/>
      <c r="E772" s="21"/>
      <c r="F772" s="107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</row>
    <row r="773" spans="1:22" ht="25.5" customHeight="1">
      <c r="A773" s="2" t="s">
        <v>1009</v>
      </c>
      <c r="B773" s="2" t="s">
        <v>1010</v>
      </c>
      <c r="C773" s="2" t="s">
        <v>1217</v>
      </c>
      <c r="D773" s="2" t="s">
        <v>1011</v>
      </c>
      <c r="E773" s="2" t="s">
        <v>207</v>
      </c>
      <c r="F773" s="2" t="s">
        <v>54</v>
      </c>
      <c r="G773" s="1119" t="s">
        <v>1766</v>
      </c>
      <c r="H773" s="1120"/>
      <c r="I773" s="1120"/>
      <c r="J773" s="1120"/>
      <c r="K773" s="1120"/>
      <c r="L773" s="1120"/>
      <c r="M773" s="1120"/>
      <c r="N773" s="1120"/>
      <c r="O773" s="1120"/>
      <c r="P773" s="1120"/>
      <c r="Q773" s="1120"/>
      <c r="R773" s="1120"/>
      <c r="S773" s="1120"/>
      <c r="T773" s="1120"/>
      <c r="U773" s="1121"/>
      <c r="V773" s="11"/>
    </row>
    <row r="774" spans="1:22" ht="14.45" customHeight="1">
      <c r="A774" s="11"/>
      <c r="B774" s="11"/>
      <c r="C774" s="11"/>
      <c r="D774" s="11"/>
      <c r="E774" s="11"/>
      <c r="F774" s="96"/>
      <c r="G774" s="11"/>
      <c r="U774" s="15"/>
      <c r="V774" s="11"/>
    </row>
    <row r="775" spans="1:22" ht="14.45" customHeight="1">
      <c r="A775" s="55" t="s">
        <v>1168</v>
      </c>
      <c r="B775" s="55" t="s">
        <v>1261</v>
      </c>
      <c r="C775" s="11">
        <v>1</v>
      </c>
      <c r="D775" s="55" t="s">
        <v>1328</v>
      </c>
      <c r="E775" s="11"/>
      <c r="F775" s="97">
        <f>U775</f>
        <v>57077</v>
      </c>
      <c r="G775" s="101">
        <f>노임!$F$3</f>
        <v>273971</v>
      </c>
      <c r="H775" s="28" t="s">
        <v>683</v>
      </c>
      <c r="I775" s="28">
        <v>1</v>
      </c>
      <c r="J775" s="28" t="s">
        <v>682</v>
      </c>
      <c r="K775" s="28">
        <v>8</v>
      </c>
      <c r="L775" s="28" t="s">
        <v>683</v>
      </c>
      <c r="M775" s="28">
        <v>25</v>
      </c>
      <c r="N775" s="28" t="s">
        <v>682</v>
      </c>
      <c r="O775" s="28">
        <v>20</v>
      </c>
      <c r="P775" s="28" t="s">
        <v>683</v>
      </c>
      <c r="Q775" s="28">
        <v>16</v>
      </c>
      <c r="R775" s="28" t="s">
        <v>682</v>
      </c>
      <c r="S775" s="28">
        <v>12</v>
      </c>
      <c r="T775" s="28" t="s">
        <v>1167</v>
      </c>
      <c r="U775" s="99">
        <f>INT(G775*(I775/K775*M775/O775*Q775/S775))</f>
        <v>57077</v>
      </c>
      <c r="V775" s="11"/>
    </row>
    <row r="776" spans="1:22" ht="14.45" customHeight="1">
      <c r="A776" s="11"/>
      <c r="B776" s="11"/>
      <c r="C776" s="11"/>
      <c r="D776" s="11"/>
      <c r="E776" s="11"/>
      <c r="F776" s="96"/>
      <c r="G776" s="11"/>
      <c r="U776" s="100"/>
      <c r="V776" s="11"/>
    </row>
    <row r="777" spans="1:22" ht="14.45" customHeight="1">
      <c r="A777" s="11"/>
      <c r="B777" s="11"/>
      <c r="C777" s="11"/>
      <c r="D777" s="11"/>
      <c r="E777" s="11"/>
      <c r="F777" s="97">
        <f>TRUNC((C777*E777),1)</f>
        <v>0</v>
      </c>
      <c r="G777" s="11"/>
      <c r="U777" s="99"/>
      <c r="V777" s="11"/>
    </row>
    <row r="778" spans="1:22" ht="14.45" customHeight="1">
      <c r="A778" s="11"/>
      <c r="B778" s="11"/>
      <c r="C778" s="11"/>
      <c r="D778" s="11"/>
      <c r="E778" s="11"/>
      <c r="F778" s="96"/>
      <c r="G778" s="11"/>
      <c r="U778" s="100"/>
      <c r="V778" s="11"/>
    </row>
    <row r="779" spans="1:22" ht="14.45" customHeight="1">
      <c r="A779" s="11"/>
      <c r="B779" s="11"/>
      <c r="C779" s="11"/>
      <c r="D779" s="11"/>
      <c r="E779" s="11"/>
      <c r="F779" s="97">
        <f>TRUNC((C779*E779),1)</f>
        <v>0</v>
      </c>
      <c r="G779" s="11"/>
      <c r="U779" s="99"/>
      <c r="V779" s="11"/>
    </row>
    <row r="780" spans="1:22" ht="14.45" customHeight="1">
      <c r="A780" s="11"/>
      <c r="B780" s="11"/>
      <c r="C780" s="11"/>
      <c r="D780" s="11"/>
      <c r="E780" s="11"/>
      <c r="F780" s="96"/>
      <c r="G780" s="11"/>
      <c r="U780" s="15"/>
      <c r="V780" s="11"/>
    </row>
    <row r="781" spans="1:22" ht="14.45" customHeight="1">
      <c r="A781" s="20"/>
      <c r="B781" s="59" t="s">
        <v>1020</v>
      </c>
      <c r="C781" s="20"/>
      <c r="D781" s="20"/>
      <c r="E781" s="20"/>
      <c r="F781" s="103">
        <f>INT(F779+F777+F775)</f>
        <v>57077</v>
      </c>
      <c r="G781" s="20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2"/>
      <c r="V781" s="11"/>
    </row>
    <row r="782" spans="1:22" ht="14.45" customHeight="1">
      <c r="A782" s="11"/>
      <c r="B782" s="11"/>
      <c r="C782" s="11"/>
      <c r="D782" s="11"/>
      <c r="E782" s="11"/>
      <c r="F782" s="96"/>
      <c r="G782" s="11"/>
      <c r="U782" s="15"/>
      <c r="V782" s="11"/>
    </row>
    <row r="783" spans="1:22" ht="14.45" customHeight="1">
      <c r="A783" s="55" t="s">
        <v>1169</v>
      </c>
      <c r="B783" s="55" t="s">
        <v>1146</v>
      </c>
      <c r="C783" s="11">
        <v>16.5</v>
      </c>
      <c r="D783" s="55" t="s">
        <v>636</v>
      </c>
      <c r="E783" s="101">
        <f>자재!$F$19</f>
        <v>1528.38</v>
      </c>
      <c r="F783" s="97">
        <f>ROUNDDOWN(E783*C783,1)</f>
        <v>25218.2</v>
      </c>
      <c r="G783" s="11"/>
      <c r="U783" s="15"/>
      <c r="V783" s="11"/>
    </row>
    <row r="784" spans="1:22" ht="14.45" customHeight="1">
      <c r="A784" s="11"/>
      <c r="B784" s="11"/>
      <c r="C784" s="11"/>
      <c r="D784" s="11"/>
      <c r="E784" s="11"/>
      <c r="F784" s="11"/>
      <c r="G784" s="11"/>
      <c r="U784" s="15"/>
      <c r="V784" s="11"/>
    </row>
    <row r="785" spans="1:22" ht="14.45" customHeight="1">
      <c r="A785" s="11"/>
      <c r="B785" s="55" t="s">
        <v>215</v>
      </c>
      <c r="C785" s="11">
        <v>0.39</v>
      </c>
      <c r="D785" s="11"/>
      <c r="E785" s="101">
        <f>F783</f>
        <v>25218.2</v>
      </c>
      <c r="F785" s="97">
        <f>ROUNDDOWN(E785*C785,1)</f>
        <v>9835</v>
      </c>
      <c r="G785" s="11"/>
      <c r="U785" s="15"/>
      <c r="V785" s="11"/>
    </row>
    <row r="786" spans="1:22" ht="14.45" customHeight="1">
      <c r="A786" s="11"/>
      <c r="B786" s="11"/>
      <c r="C786" s="11"/>
      <c r="D786" s="11"/>
      <c r="E786" s="11"/>
      <c r="F786" s="96"/>
      <c r="G786" s="11"/>
      <c r="U786" s="15"/>
      <c r="V786" s="11"/>
    </row>
    <row r="787" spans="1:22" ht="14.45" customHeight="1">
      <c r="A787" s="11"/>
      <c r="B787" s="11"/>
      <c r="C787" s="11"/>
      <c r="D787" s="11"/>
      <c r="E787" s="11"/>
      <c r="F787" s="96"/>
      <c r="G787" s="11"/>
      <c r="U787" s="15"/>
      <c r="V787" s="11"/>
    </row>
    <row r="788" spans="1:22" ht="14.45" customHeight="1">
      <c r="A788" s="11"/>
      <c r="B788" s="11"/>
      <c r="C788" s="11"/>
      <c r="D788" s="11"/>
      <c r="E788" s="11"/>
      <c r="F788" s="96"/>
      <c r="G788" s="11"/>
      <c r="U788" s="15"/>
      <c r="V788" s="11"/>
    </row>
    <row r="789" spans="1:22" ht="14.45" customHeight="1">
      <c r="A789" s="11"/>
      <c r="B789" s="11"/>
      <c r="C789" s="11"/>
      <c r="D789" s="11"/>
      <c r="E789" s="11"/>
      <c r="F789" s="96"/>
      <c r="G789" s="11"/>
      <c r="U789" s="15"/>
      <c r="V789" s="11"/>
    </row>
    <row r="790" spans="1:22" ht="14.45" customHeight="1">
      <c r="A790" s="11"/>
      <c r="B790" s="11"/>
      <c r="C790" s="11"/>
      <c r="D790" s="11"/>
      <c r="E790" s="11"/>
      <c r="F790" s="96"/>
      <c r="G790" s="11"/>
      <c r="U790" s="15"/>
      <c r="V790" s="11"/>
    </row>
    <row r="791" spans="1:22" ht="14.45" customHeight="1">
      <c r="A791" s="20"/>
      <c r="B791" s="59" t="s">
        <v>1020</v>
      </c>
      <c r="C791" s="20"/>
      <c r="D791" s="20"/>
      <c r="E791" s="20"/>
      <c r="F791" s="103">
        <f>INT(F789+F787+F785+F783)</f>
        <v>35053</v>
      </c>
      <c r="G791" s="20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2"/>
      <c r="V791" s="11"/>
    </row>
    <row r="792" spans="1:22" ht="14.45" customHeight="1">
      <c r="A792" s="11"/>
      <c r="B792" s="11"/>
      <c r="C792" s="11"/>
      <c r="D792" s="11"/>
      <c r="E792" s="11"/>
      <c r="F792" s="96"/>
      <c r="G792" s="11"/>
      <c r="U792" s="15"/>
      <c r="V792" s="11"/>
    </row>
    <row r="793" spans="1:22" ht="14.45" customHeight="1">
      <c r="A793" s="55" t="s">
        <v>1170</v>
      </c>
      <c r="B793" s="55" t="s">
        <v>1147</v>
      </c>
      <c r="C793" s="11"/>
      <c r="D793" s="11"/>
      <c r="E793" s="11"/>
      <c r="F793" s="105">
        <f>INT(H793*M793*O793)</f>
        <v>15014</v>
      </c>
      <c r="G793" s="11"/>
      <c r="H793" s="1126">
        <v>58288000</v>
      </c>
      <c r="I793" s="1126"/>
      <c r="J793" s="1126"/>
      <c r="K793" s="1126"/>
      <c r="L793" s="28" t="s">
        <v>921</v>
      </c>
      <c r="M793" s="106">
        <v>2576</v>
      </c>
      <c r="N793" s="10" t="s">
        <v>921</v>
      </c>
      <c r="O793" s="1017">
        <v>9.9999999999999995E-8</v>
      </c>
      <c r="P793" s="1017"/>
      <c r="Q793" s="1017"/>
      <c r="R793" s="1017"/>
      <c r="U793" s="15"/>
      <c r="V793" s="11"/>
    </row>
    <row r="794" spans="1:22" ht="14.45" customHeight="1">
      <c r="A794" s="11"/>
      <c r="B794" s="11"/>
      <c r="C794" s="11"/>
      <c r="D794" s="11"/>
      <c r="E794" s="11"/>
      <c r="F794" s="96"/>
      <c r="G794" s="11"/>
      <c r="U794" s="15"/>
      <c r="V794" s="11"/>
    </row>
    <row r="795" spans="1:22" ht="14.45" customHeight="1">
      <c r="A795" s="11"/>
      <c r="B795" s="11"/>
      <c r="C795" s="11"/>
      <c r="D795" s="11"/>
      <c r="E795" s="11"/>
      <c r="F795" s="96"/>
      <c r="G795" s="11"/>
      <c r="U795" s="15"/>
      <c r="V795" s="11"/>
    </row>
    <row r="796" spans="1:22" ht="14.45" customHeight="1">
      <c r="A796" s="11"/>
      <c r="B796" s="11"/>
      <c r="C796" s="11"/>
      <c r="D796" s="11"/>
      <c r="E796" s="11"/>
      <c r="F796" s="96"/>
      <c r="G796" s="11"/>
      <c r="U796" s="15"/>
      <c r="V796" s="11"/>
    </row>
    <row r="797" spans="1:22" ht="14.45" customHeight="1">
      <c r="A797" s="11"/>
      <c r="B797" s="11"/>
      <c r="C797" s="11"/>
      <c r="D797" s="11"/>
      <c r="E797" s="11"/>
      <c r="F797" s="96"/>
      <c r="G797" s="11"/>
      <c r="U797" s="15"/>
      <c r="V797" s="11"/>
    </row>
    <row r="798" spans="1:22" ht="14.45" customHeight="1">
      <c r="A798" s="11"/>
      <c r="B798" s="11"/>
      <c r="C798" s="11"/>
      <c r="D798" s="11"/>
      <c r="E798" s="11"/>
      <c r="F798" s="96"/>
      <c r="G798" s="11"/>
      <c r="U798" s="15"/>
      <c r="V798" s="11"/>
    </row>
    <row r="799" spans="1:22" ht="14.45" customHeight="1">
      <c r="A799" s="11"/>
      <c r="B799" s="11"/>
      <c r="C799" s="11"/>
      <c r="D799" s="11"/>
      <c r="E799" s="11"/>
      <c r="F799" s="96"/>
      <c r="G799" s="11"/>
      <c r="U799" s="15"/>
      <c r="V799" s="11"/>
    </row>
    <row r="800" spans="1:22" ht="14.45" customHeight="1">
      <c r="A800" s="20"/>
      <c r="B800" s="20"/>
      <c r="C800" s="20"/>
      <c r="D800" s="20"/>
      <c r="E800" s="20"/>
      <c r="F800" s="102"/>
      <c r="G800" s="20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2"/>
      <c r="V800" s="11"/>
    </row>
    <row r="801" spans="1:22" ht="14.45" customHeight="1">
      <c r="A801" s="11"/>
      <c r="B801" s="11"/>
      <c r="C801" s="11"/>
      <c r="D801" s="11"/>
      <c r="E801" s="11"/>
      <c r="F801" s="96"/>
      <c r="G801" s="11"/>
      <c r="U801" s="15"/>
      <c r="V801" s="11"/>
    </row>
    <row r="802" spans="1:22" ht="14.45" customHeight="1">
      <c r="A802" s="59" t="s">
        <v>1156</v>
      </c>
      <c r="B802" s="20"/>
      <c r="C802" s="20"/>
      <c r="D802" s="20"/>
      <c r="E802" s="20"/>
      <c r="F802" s="103">
        <f>F791+F793+F781</f>
        <v>107144</v>
      </c>
      <c r="G802" s="20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2"/>
      <c r="V802" s="11"/>
    </row>
    <row r="803" spans="1:22" ht="14.45" customHeight="1">
      <c r="A803" s="31" t="s">
        <v>988</v>
      </c>
      <c r="C803" s="118"/>
      <c r="F803" s="80"/>
    </row>
    <row r="804" spans="1:22" ht="14.45" customHeight="1">
      <c r="A804" s="125"/>
      <c r="B804" s="113"/>
      <c r="C804" s="113"/>
      <c r="D804" s="113"/>
      <c r="E804" s="21"/>
      <c r="F804" s="107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</row>
    <row r="805" spans="1:22" ht="25.5" customHeight="1">
      <c r="A805" s="2" t="s">
        <v>1009</v>
      </c>
      <c r="B805" s="2" t="s">
        <v>1010</v>
      </c>
      <c r="C805" s="2" t="s">
        <v>1217</v>
      </c>
      <c r="D805" s="2" t="s">
        <v>1011</v>
      </c>
      <c r="E805" s="2" t="s">
        <v>207</v>
      </c>
      <c r="F805" s="2" t="s">
        <v>54</v>
      </c>
      <c r="G805" s="1119" t="s">
        <v>1766</v>
      </c>
      <c r="H805" s="1120"/>
      <c r="I805" s="1120"/>
      <c r="J805" s="1120"/>
      <c r="K805" s="1120"/>
      <c r="L805" s="1120"/>
      <c r="M805" s="1120"/>
      <c r="N805" s="1120"/>
      <c r="O805" s="1120"/>
      <c r="P805" s="1120"/>
      <c r="Q805" s="1120"/>
      <c r="R805" s="1120"/>
      <c r="S805" s="1120"/>
      <c r="T805" s="1120"/>
      <c r="U805" s="1121"/>
      <c r="V805" s="11"/>
    </row>
    <row r="806" spans="1:22" ht="14.45" customHeight="1">
      <c r="A806" s="11"/>
      <c r="B806" s="11"/>
      <c r="C806" s="11"/>
      <c r="D806" s="11"/>
      <c r="E806" s="11"/>
      <c r="F806" s="96"/>
      <c r="G806" s="11"/>
      <c r="U806" s="15"/>
    </row>
    <row r="807" spans="1:22" ht="14.45" customHeight="1">
      <c r="A807" s="55" t="s">
        <v>1168</v>
      </c>
      <c r="B807" s="55" t="s">
        <v>1261</v>
      </c>
      <c r="C807" s="11">
        <v>1</v>
      </c>
      <c r="D807" s="55" t="s">
        <v>1328</v>
      </c>
      <c r="E807" s="111">
        <f>+U807</f>
        <v>49479</v>
      </c>
      <c r="F807" s="97">
        <f>TRUNC((C807*E807),1)</f>
        <v>49479</v>
      </c>
      <c r="G807" s="101">
        <f>노임!F5</f>
        <v>237500</v>
      </c>
      <c r="H807" s="28" t="s">
        <v>683</v>
      </c>
      <c r="I807" s="28">
        <v>1</v>
      </c>
      <c r="J807" s="28" t="s">
        <v>682</v>
      </c>
      <c r="K807" s="28">
        <v>8</v>
      </c>
      <c r="L807" s="28" t="s">
        <v>683</v>
      </c>
      <c r="M807" s="28">
        <v>25</v>
      </c>
      <c r="N807" s="28" t="s">
        <v>682</v>
      </c>
      <c r="O807" s="28">
        <v>20</v>
      </c>
      <c r="P807" s="28" t="s">
        <v>683</v>
      </c>
      <c r="Q807" s="28">
        <v>16</v>
      </c>
      <c r="R807" s="28" t="s">
        <v>682</v>
      </c>
      <c r="S807" s="28">
        <v>12</v>
      </c>
      <c r="T807" s="28" t="s">
        <v>1167</v>
      </c>
      <c r="U807" s="99">
        <f>INT(G807*I807/K807*M807/O807*Q807/S807)</f>
        <v>49479</v>
      </c>
    </row>
    <row r="808" spans="1:22" ht="14.45" customHeight="1">
      <c r="A808" s="11"/>
      <c r="B808" s="11"/>
      <c r="C808" s="11"/>
      <c r="D808" s="11"/>
      <c r="E808" s="11"/>
      <c r="F808" s="96"/>
      <c r="G808" s="11"/>
      <c r="U808" s="100"/>
    </row>
    <row r="809" spans="1:22" ht="14.45" customHeight="1">
      <c r="A809" s="11"/>
      <c r="B809" s="11"/>
      <c r="C809" s="11"/>
      <c r="D809" s="11"/>
      <c r="E809" s="11"/>
      <c r="F809" s="97">
        <f>TRUNC((C809*E809),1)</f>
        <v>0</v>
      </c>
      <c r="G809" s="11"/>
      <c r="U809" s="99"/>
    </row>
    <row r="810" spans="1:22" ht="14.45" customHeight="1">
      <c r="A810" s="11"/>
      <c r="B810" s="11"/>
      <c r="C810" s="11"/>
      <c r="D810" s="11"/>
      <c r="E810" s="11"/>
      <c r="F810" s="96"/>
      <c r="G810" s="11"/>
      <c r="U810" s="100"/>
    </row>
    <row r="811" spans="1:22" ht="14.45" customHeight="1">
      <c r="A811" s="11"/>
      <c r="B811" s="11"/>
      <c r="C811" s="11"/>
      <c r="D811" s="11"/>
      <c r="E811" s="11"/>
      <c r="F811" s="97">
        <f>TRUNC((C811*E811),1)</f>
        <v>0</v>
      </c>
      <c r="G811" s="11"/>
      <c r="U811" s="99"/>
    </row>
    <row r="812" spans="1:22" ht="14.45" customHeight="1">
      <c r="A812" s="20"/>
      <c r="B812" s="59" t="s">
        <v>1020</v>
      </c>
      <c r="C812" s="20"/>
      <c r="D812" s="20"/>
      <c r="E812" s="20"/>
      <c r="F812" s="103">
        <f>INT(F807)</f>
        <v>49479</v>
      </c>
      <c r="G812" s="20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2"/>
    </row>
    <row r="813" spans="1:22" ht="14.45" customHeight="1">
      <c r="A813" s="11"/>
      <c r="B813" s="11"/>
      <c r="C813" s="11"/>
      <c r="D813" s="11"/>
      <c r="E813" s="11"/>
      <c r="F813" s="96"/>
      <c r="G813" s="11"/>
      <c r="U813" s="15"/>
    </row>
    <row r="814" spans="1:22" ht="14.45" customHeight="1">
      <c r="A814" s="11"/>
      <c r="B814" s="11"/>
      <c r="C814" s="11"/>
      <c r="D814" s="11"/>
      <c r="E814" s="11"/>
      <c r="F814" s="96"/>
      <c r="G814" s="11"/>
      <c r="U814" s="15"/>
    </row>
    <row r="815" spans="1:22" ht="14.45" customHeight="1">
      <c r="A815" s="55" t="s">
        <v>1169</v>
      </c>
      <c r="B815" s="55" t="s">
        <v>1146</v>
      </c>
      <c r="C815" s="11">
        <v>9.3000000000000007</v>
      </c>
      <c r="D815" s="55" t="s">
        <v>636</v>
      </c>
      <c r="E815" s="101">
        <f>자재!$F$19</f>
        <v>1528.38</v>
      </c>
      <c r="F815" s="97">
        <f>ROUNDDOWN(E815*C815,1)</f>
        <v>14213.9</v>
      </c>
      <c r="G815" s="11"/>
      <c r="U815" s="15"/>
    </row>
    <row r="816" spans="1:22" ht="14.45" customHeight="1">
      <c r="A816" s="11"/>
      <c r="B816" s="11"/>
      <c r="C816" s="11"/>
      <c r="D816" s="11"/>
      <c r="E816" s="11"/>
      <c r="F816" s="11"/>
      <c r="G816" s="11"/>
      <c r="U816" s="15"/>
    </row>
    <row r="817" spans="1:21" ht="14.45" customHeight="1">
      <c r="A817" s="11"/>
      <c r="B817" s="55" t="s">
        <v>161</v>
      </c>
      <c r="C817" s="11">
        <v>0.3</v>
      </c>
      <c r="D817" s="11"/>
      <c r="E817" s="101">
        <f>F815</f>
        <v>14213.9</v>
      </c>
      <c r="F817" s="97">
        <f>ROUNDDOWN(E817*C817,1)</f>
        <v>4264.1000000000004</v>
      </c>
      <c r="G817" s="11"/>
      <c r="U817" s="15"/>
    </row>
    <row r="818" spans="1:21" ht="14.45" customHeight="1">
      <c r="A818" s="11"/>
      <c r="B818" s="11"/>
      <c r="C818" s="11"/>
      <c r="D818" s="11"/>
      <c r="E818" s="11"/>
      <c r="F818" s="96"/>
      <c r="G818" s="11"/>
      <c r="U818" s="15"/>
    </row>
    <row r="819" spans="1:21" ht="14.45" customHeight="1">
      <c r="A819" s="11"/>
      <c r="B819" s="11"/>
      <c r="C819" s="11"/>
      <c r="D819" s="11"/>
      <c r="E819" s="11"/>
      <c r="F819" s="96"/>
      <c r="G819" s="11"/>
      <c r="U819" s="15"/>
    </row>
    <row r="820" spans="1:21" ht="14.45" customHeight="1">
      <c r="A820" s="20"/>
      <c r="B820" s="59" t="s">
        <v>1020</v>
      </c>
      <c r="C820" s="20"/>
      <c r="D820" s="20"/>
      <c r="E820" s="20"/>
      <c r="F820" s="103">
        <f>INT(F817+F815)</f>
        <v>18478</v>
      </c>
      <c r="G820" s="20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2"/>
    </row>
    <row r="821" spans="1:21" ht="14.45" customHeight="1">
      <c r="A821" s="11"/>
      <c r="B821" s="11"/>
      <c r="C821" s="11"/>
      <c r="D821" s="11"/>
      <c r="E821" s="11"/>
      <c r="F821" s="96"/>
      <c r="G821" s="11"/>
      <c r="U821" s="15"/>
    </row>
    <row r="822" spans="1:21" ht="14.45" customHeight="1">
      <c r="A822" s="55" t="s">
        <v>1170</v>
      </c>
      <c r="B822" s="55" t="s">
        <v>1147</v>
      </c>
      <c r="C822" s="11"/>
      <c r="D822" s="11"/>
      <c r="E822" s="11"/>
      <c r="F822" s="105">
        <f>INT(H822*M822*O822)</f>
        <v>8821</v>
      </c>
      <c r="G822" s="11"/>
      <c r="H822" s="1126">
        <v>41748000</v>
      </c>
      <c r="I822" s="1126"/>
      <c r="J822" s="1126"/>
      <c r="K822" s="1126"/>
      <c r="L822" s="28" t="s">
        <v>921</v>
      </c>
      <c r="M822" s="106">
        <v>2113</v>
      </c>
      <c r="N822" s="10" t="s">
        <v>921</v>
      </c>
      <c r="O822" s="1017">
        <v>9.9999999999999995E-8</v>
      </c>
      <c r="P822" s="1017"/>
      <c r="Q822" s="1017"/>
      <c r="R822" s="28"/>
      <c r="U822" s="15"/>
    </row>
    <row r="823" spans="1:21" ht="14.45" customHeight="1">
      <c r="A823" s="121"/>
      <c r="B823" s="121"/>
      <c r="C823" s="110"/>
      <c r="D823" s="110"/>
      <c r="E823" s="110"/>
      <c r="F823" s="105"/>
      <c r="G823" s="11"/>
      <c r="H823" s="92"/>
      <c r="I823" s="92"/>
      <c r="J823" s="92"/>
      <c r="K823" s="92"/>
      <c r="L823" s="28"/>
      <c r="M823" s="106"/>
      <c r="O823" s="28"/>
      <c r="P823" s="28"/>
      <c r="Q823" s="28"/>
      <c r="R823" s="28"/>
      <c r="U823" s="15"/>
    </row>
    <row r="824" spans="1:21" ht="14.45" customHeight="1">
      <c r="A824" s="121"/>
      <c r="B824" s="121"/>
      <c r="C824" s="110"/>
      <c r="D824" s="110"/>
      <c r="E824" s="110"/>
      <c r="F824" s="105"/>
      <c r="G824" s="11"/>
      <c r="H824" s="92"/>
      <c r="I824" s="92"/>
      <c r="J824" s="92"/>
      <c r="K824" s="92"/>
      <c r="L824" s="28"/>
      <c r="M824" s="106"/>
      <c r="O824" s="28"/>
      <c r="P824" s="28"/>
      <c r="Q824" s="28"/>
      <c r="R824" s="28"/>
      <c r="U824" s="15"/>
    </row>
    <row r="825" spans="1:21" ht="14.45" customHeight="1">
      <c r="A825" s="121"/>
      <c r="B825" s="121"/>
      <c r="C825" s="110"/>
      <c r="D825" s="110"/>
      <c r="E825" s="110"/>
      <c r="F825" s="105"/>
      <c r="G825" s="11"/>
      <c r="H825" s="92"/>
      <c r="I825" s="92"/>
      <c r="J825" s="92"/>
      <c r="K825" s="92"/>
      <c r="L825" s="28"/>
      <c r="M825" s="106"/>
      <c r="O825" s="28"/>
      <c r="P825" s="28"/>
      <c r="Q825" s="28"/>
      <c r="R825" s="28"/>
      <c r="U825" s="15"/>
    </row>
    <row r="826" spans="1:21" ht="14.45" customHeight="1">
      <c r="A826" s="121"/>
      <c r="B826" s="121"/>
      <c r="C826" s="110"/>
      <c r="D826" s="110"/>
      <c r="E826" s="110"/>
      <c r="F826" s="105"/>
      <c r="G826" s="11"/>
      <c r="H826" s="92"/>
      <c r="I826" s="92"/>
      <c r="J826" s="92"/>
      <c r="K826" s="92"/>
      <c r="L826" s="28"/>
      <c r="M826" s="106"/>
      <c r="O826" s="28"/>
      <c r="P826" s="28"/>
      <c r="Q826" s="28"/>
      <c r="R826" s="28"/>
      <c r="U826" s="15"/>
    </row>
    <row r="827" spans="1:21" ht="14.45" customHeight="1">
      <c r="A827" s="121"/>
      <c r="B827" s="121"/>
      <c r="C827" s="110"/>
      <c r="D827" s="110"/>
      <c r="E827" s="110"/>
      <c r="F827" s="105"/>
      <c r="G827" s="11"/>
      <c r="H827" s="92"/>
      <c r="I827" s="92"/>
      <c r="J827" s="92"/>
      <c r="K827" s="92"/>
      <c r="L827" s="28"/>
      <c r="M827" s="106"/>
      <c r="O827" s="28"/>
      <c r="P827" s="28"/>
      <c r="Q827" s="28"/>
      <c r="R827" s="28"/>
      <c r="U827" s="15"/>
    </row>
    <row r="828" spans="1:21" ht="14.45" customHeight="1">
      <c r="A828" s="121"/>
      <c r="B828" s="121"/>
      <c r="C828" s="110"/>
      <c r="D828" s="110"/>
      <c r="E828" s="110"/>
      <c r="F828" s="105"/>
      <c r="G828" s="11"/>
      <c r="H828" s="92"/>
      <c r="I828" s="92"/>
      <c r="J828" s="92"/>
      <c r="K828" s="92"/>
      <c r="L828" s="28"/>
      <c r="M828" s="106"/>
      <c r="O828" s="28"/>
      <c r="P828" s="28"/>
      <c r="Q828" s="28"/>
      <c r="R828" s="28"/>
      <c r="U828" s="15"/>
    </row>
    <row r="829" spans="1:21" ht="14.45" customHeight="1">
      <c r="A829" s="121"/>
      <c r="B829" s="121"/>
      <c r="C829" s="110"/>
      <c r="D829" s="110"/>
      <c r="E829" s="110"/>
      <c r="F829" s="105"/>
      <c r="G829" s="11"/>
      <c r="H829" s="92"/>
      <c r="I829" s="92"/>
      <c r="J829" s="92"/>
      <c r="K829" s="92"/>
      <c r="L829" s="28"/>
      <c r="M829" s="106"/>
      <c r="O829" s="28"/>
      <c r="P829" s="28"/>
      <c r="Q829" s="28"/>
      <c r="R829" s="28"/>
      <c r="U829" s="15"/>
    </row>
    <row r="830" spans="1:21" ht="14.45" customHeight="1">
      <c r="A830" s="121"/>
      <c r="B830" s="121"/>
      <c r="C830" s="110"/>
      <c r="D830" s="110"/>
      <c r="E830" s="110"/>
      <c r="F830" s="105"/>
      <c r="G830" s="11"/>
      <c r="H830" s="92"/>
      <c r="I830" s="92"/>
      <c r="J830" s="92"/>
      <c r="K830" s="92"/>
      <c r="L830" s="28"/>
      <c r="M830" s="106"/>
      <c r="O830" s="28"/>
      <c r="P830" s="28"/>
      <c r="Q830" s="28"/>
      <c r="R830" s="28"/>
      <c r="U830" s="15"/>
    </row>
    <row r="831" spans="1:21" ht="14.45" customHeight="1">
      <c r="A831" s="121"/>
      <c r="B831" s="121"/>
      <c r="C831" s="110"/>
      <c r="D831" s="110"/>
      <c r="E831" s="110"/>
      <c r="F831" s="105"/>
      <c r="G831" s="11"/>
      <c r="H831" s="92"/>
      <c r="I831" s="92"/>
      <c r="J831" s="92"/>
      <c r="K831" s="92"/>
      <c r="L831" s="28"/>
      <c r="M831" s="106"/>
      <c r="O831" s="28"/>
      <c r="P831" s="28"/>
      <c r="Q831" s="28"/>
      <c r="R831" s="28"/>
      <c r="U831" s="15"/>
    </row>
    <row r="832" spans="1:21" ht="14.45" customHeight="1">
      <c r="A832" s="121"/>
      <c r="B832" s="121"/>
      <c r="C832" s="110"/>
      <c r="D832" s="110"/>
      <c r="E832" s="110"/>
      <c r="F832" s="105"/>
      <c r="G832" s="11"/>
      <c r="H832" s="92"/>
      <c r="I832" s="92"/>
      <c r="J832" s="92"/>
      <c r="K832" s="92"/>
      <c r="L832" s="28"/>
      <c r="M832" s="106"/>
      <c r="O832" s="28"/>
      <c r="P832" s="28"/>
      <c r="Q832" s="28"/>
      <c r="R832" s="28"/>
      <c r="U832" s="15"/>
    </row>
    <row r="833" spans="1:22" ht="14.45" customHeight="1">
      <c r="A833" s="121"/>
      <c r="B833" s="121"/>
      <c r="C833" s="110"/>
      <c r="D833" s="110"/>
      <c r="E833" s="110"/>
      <c r="F833" s="105"/>
      <c r="G833" s="11"/>
      <c r="H833" s="92"/>
      <c r="I833" s="92"/>
      <c r="J833" s="92"/>
      <c r="K833" s="92"/>
      <c r="L833" s="28"/>
      <c r="M833" s="106"/>
      <c r="O833" s="28"/>
      <c r="P833" s="28"/>
      <c r="Q833" s="28"/>
      <c r="R833" s="28"/>
      <c r="U833" s="15"/>
    </row>
    <row r="834" spans="1:22" ht="14.45" customHeight="1">
      <c r="A834" s="59" t="s">
        <v>1156</v>
      </c>
      <c r="B834" s="20"/>
      <c r="C834" s="20"/>
      <c r="D834" s="20"/>
      <c r="E834" s="20"/>
      <c r="F834" s="103">
        <f>F812+F820+F822</f>
        <v>76778</v>
      </c>
      <c r="G834" s="20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2"/>
    </row>
    <row r="835" spans="1:22" ht="14.45" customHeight="1">
      <c r="A835" s="1123" t="s">
        <v>980</v>
      </c>
      <c r="B835" s="1123"/>
      <c r="C835" s="1123"/>
      <c r="F835" s="80"/>
    </row>
    <row r="836" spans="1:22" ht="14.45" customHeight="1">
      <c r="A836" s="112"/>
      <c r="B836" s="113"/>
      <c r="C836" s="113"/>
      <c r="D836" s="113"/>
      <c r="E836" s="21"/>
      <c r="F836" s="107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1"/>
    </row>
    <row r="837" spans="1:22" ht="25.5" customHeight="1">
      <c r="A837" s="2" t="s">
        <v>1009</v>
      </c>
      <c r="B837" s="2" t="s">
        <v>1010</v>
      </c>
      <c r="C837" s="2" t="s">
        <v>1217</v>
      </c>
      <c r="D837" s="2" t="s">
        <v>1011</v>
      </c>
      <c r="E837" s="2" t="s">
        <v>207</v>
      </c>
      <c r="F837" s="2" t="s">
        <v>54</v>
      </c>
      <c r="G837" s="1119" t="s">
        <v>1766</v>
      </c>
      <c r="H837" s="1120"/>
      <c r="I837" s="1120"/>
      <c r="J837" s="1120"/>
      <c r="K837" s="1120"/>
      <c r="L837" s="1120"/>
      <c r="M837" s="1120"/>
      <c r="N837" s="1120"/>
      <c r="O837" s="1120"/>
      <c r="P837" s="1120"/>
      <c r="Q837" s="1120"/>
      <c r="R837" s="1120"/>
      <c r="S837" s="1120"/>
      <c r="T837" s="1120"/>
      <c r="U837" s="1121"/>
      <c r="V837" s="11"/>
    </row>
    <row r="838" spans="1:22" ht="14.45" customHeight="1">
      <c r="A838" s="11"/>
      <c r="B838" s="11"/>
      <c r="C838" s="11"/>
      <c r="D838" s="11"/>
      <c r="E838" s="11"/>
      <c r="F838" s="96"/>
      <c r="G838" s="11"/>
      <c r="U838" s="15"/>
    </row>
    <row r="839" spans="1:22" ht="14.45" customHeight="1">
      <c r="A839" s="55" t="s">
        <v>1168</v>
      </c>
      <c r="B839" s="55" t="s">
        <v>1261</v>
      </c>
      <c r="C839" s="11">
        <v>1</v>
      </c>
      <c r="D839" s="55" t="s">
        <v>1328</v>
      </c>
      <c r="E839" s="111">
        <f>U839</f>
        <v>35608</v>
      </c>
      <c r="F839" s="97">
        <f>U839</f>
        <v>35608</v>
      </c>
      <c r="G839" s="101">
        <f>노임!F6</f>
        <v>170920</v>
      </c>
      <c r="H839" s="28" t="s">
        <v>683</v>
      </c>
      <c r="I839" s="28">
        <v>1</v>
      </c>
      <c r="J839" s="28" t="s">
        <v>682</v>
      </c>
      <c r="K839" s="28">
        <v>8</v>
      </c>
      <c r="L839" s="28" t="s">
        <v>683</v>
      </c>
      <c r="M839" s="28">
        <v>25</v>
      </c>
      <c r="N839" s="28" t="s">
        <v>682</v>
      </c>
      <c r="O839" s="28">
        <v>20</v>
      </c>
      <c r="P839" s="28" t="s">
        <v>683</v>
      </c>
      <c r="Q839" s="28">
        <v>16</v>
      </c>
      <c r="R839" s="28" t="s">
        <v>682</v>
      </c>
      <c r="S839" s="28">
        <v>12</v>
      </c>
      <c r="T839" s="28" t="s">
        <v>1167</v>
      </c>
      <c r="U839" s="99">
        <f>INT(G839*I839/K839*M839/O839*Q839/S839)</f>
        <v>35608</v>
      </c>
    </row>
    <row r="840" spans="1:22" ht="14.45" customHeight="1">
      <c r="A840" s="11"/>
      <c r="B840" s="11"/>
      <c r="C840" s="11"/>
      <c r="D840" s="11"/>
      <c r="E840" s="11"/>
      <c r="F840" s="96"/>
      <c r="G840" s="11"/>
      <c r="U840" s="100"/>
    </row>
    <row r="841" spans="1:22" ht="14.45" customHeight="1">
      <c r="A841" s="11"/>
      <c r="B841" s="11"/>
      <c r="C841" s="11"/>
      <c r="D841" s="11"/>
      <c r="E841" s="11"/>
      <c r="F841" s="97">
        <f>TRUNC((C841*E841),1)</f>
        <v>0</v>
      </c>
      <c r="G841" s="11"/>
      <c r="U841" s="99"/>
    </row>
    <row r="842" spans="1:22" ht="14.45" customHeight="1">
      <c r="A842" s="11"/>
      <c r="B842" s="11"/>
      <c r="C842" s="11"/>
      <c r="D842" s="11"/>
      <c r="E842" s="11"/>
      <c r="F842" s="96"/>
      <c r="G842" s="11"/>
      <c r="U842" s="100"/>
    </row>
    <row r="843" spans="1:22" ht="14.45" customHeight="1">
      <c r="A843" s="11"/>
      <c r="B843" s="11"/>
      <c r="C843" s="11"/>
      <c r="D843" s="11"/>
      <c r="E843" s="11"/>
      <c r="F843" s="97">
        <f>TRUNC((C843*E843),1)</f>
        <v>0</v>
      </c>
      <c r="G843" s="11"/>
      <c r="U843" s="99"/>
    </row>
    <row r="844" spans="1:22" ht="14.45" customHeight="1">
      <c r="A844" s="20"/>
      <c r="B844" s="59" t="s">
        <v>1020</v>
      </c>
      <c r="C844" s="20"/>
      <c r="D844" s="20"/>
      <c r="E844" s="20"/>
      <c r="F844" s="103">
        <f>INT(F839)</f>
        <v>35608</v>
      </c>
      <c r="G844" s="20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2"/>
    </row>
    <row r="845" spans="1:22" ht="14.45" customHeight="1">
      <c r="A845" s="11"/>
      <c r="B845" s="11"/>
      <c r="C845" s="11"/>
      <c r="D845" s="11"/>
      <c r="E845" s="11"/>
      <c r="F845" s="96"/>
      <c r="G845" s="11"/>
      <c r="U845" s="15"/>
    </row>
    <row r="846" spans="1:22" ht="14.45" customHeight="1">
      <c r="A846" s="11"/>
      <c r="B846" s="11"/>
      <c r="C846" s="11"/>
      <c r="D846" s="11"/>
      <c r="E846" s="11"/>
      <c r="F846" s="96"/>
      <c r="G846" s="11"/>
      <c r="U846" s="15"/>
    </row>
    <row r="847" spans="1:22" ht="14.45" customHeight="1">
      <c r="A847" s="55" t="s">
        <v>1169</v>
      </c>
      <c r="B847" s="55" t="s">
        <v>1146</v>
      </c>
      <c r="C847" s="11">
        <v>4.3</v>
      </c>
      <c r="D847" s="55" t="s">
        <v>636</v>
      </c>
      <c r="E847" s="101">
        <f>자재!$F$19</f>
        <v>1528.38</v>
      </c>
      <c r="F847" s="97">
        <f>ROUNDDOWN(E847*C847,1)</f>
        <v>6572</v>
      </c>
      <c r="G847" s="11"/>
      <c r="U847" s="15"/>
    </row>
    <row r="848" spans="1:22" ht="14.45" customHeight="1">
      <c r="A848" s="11"/>
      <c r="B848" s="11"/>
      <c r="C848" s="11"/>
      <c r="D848" s="11"/>
      <c r="E848" s="11"/>
      <c r="F848" s="11"/>
      <c r="G848" s="11"/>
      <c r="U848" s="15"/>
    </row>
    <row r="849" spans="1:21" ht="14.45" customHeight="1">
      <c r="A849" s="11"/>
      <c r="B849" s="55" t="s">
        <v>162</v>
      </c>
      <c r="C849" s="11">
        <v>0.24</v>
      </c>
      <c r="D849" s="11"/>
      <c r="E849" s="101">
        <f>F847</f>
        <v>6572</v>
      </c>
      <c r="F849" s="97">
        <f>ROUNDDOWN(E849*C849,1)</f>
        <v>1577.2</v>
      </c>
      <c r="G849" s="11"/>
      <c r="U849" s="15"/>
    </row>
    <row r="850" spans="1:21" ht="14.45" customHeight="1">
      <c r="A850" s="11"/>
      <c r="B850" s="11"/>
      <c r="C850" s="11"/>
      <c r="D850" s="11"/>
      <c r="E850" s="11"/>
      <c r="F850" s="96"/>
      <c r="G850" s="11"/>
      <c r="U850" s="15"/>
    </row>
    <row r="851" spans="1:21" ht="14.45" customHeight="1">
      <c r="A851" s="11"/>
      <c r="B851" s="11"/>
      <c r="C851" s="11"/>
      <c r="D851" s="11"/>
      <c r="E851" s="11"/>
      <c r="F851" s="96"/>
      <c r="G851" s="11"/>
      <c r="U851" s="15"/>
    </row>
    <row r="852" spans="1:21" ht="14.45" customHeight="1">
      <c r="A852" s="20"/>
      <c r="B852" s="59" t="s">
        <v>1020</v>
      </c>
      <c r="C852" s="20"/>
      <c r="D852" s="20"/>
      <c r="E852" s="20"/>
      <c r="F852" s="103">
        <f>INT(F849+F847)</f>
        <v>8149</v>
      </c>
      <c r="G852" s="20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2"/>
    </row>
    <row r="853" spans="1:21" ht="14.45" customHeight="1">
      <c r="A853" s="11"/>
      <c r="B853" s="11"/>
      <c r="C853" s="11"/>
      <c r="D853" s="11"/>
      <c r="E853" s="11"/>
      <c r="F853" s="96"/>
      <c r="G853" s="11"/>
      <c r="U853" s="15"/>
    </row>
    <row r="854" spans="1:21" ht="14.45" customHeight="1">
      <c r="A854" s="55" t="s">
        <v>1170</v>
      </c>
      <c r="B854" s="55" t="s">
        <v>1147</v>
      </c>
      <c r="C854" s="11"/>
      <c r="D854" s="11"/>
      <c r="E854" s="11"/>
      <c r="F854" s="105">
        <f>INT(H854*M854*O854)</f>
        <v>2985</v>
      </c>
      <c r="G854" s="11"/>
      <c r="H854" s="1126">
        <v>12640000</v>
      </c>
      <c r="I854" s="1126"/>
      <c r="J854" s="1126"/>
      <c r="K854" s="1126"/>
      <c r="L854" s="28" t="s">
        <v>921</v>
      </c>
      <c r="M854" s="106">
        <v>2362</v>
      </c>
      <c r="N854" s="10" t="s">
        <v>921</v>
      </c>
      <c r="O854" s="1017">
        <v>9.9999999999999995E-8</v>
      </c>
      <c r="P854" s="1017"/>
      <c r="Q854" s="1017"/>
      <c r="R854" s="1017"/>
      <c r="U854" s="15"/>
    </row>
    <row r="855" spans="1:21" ht="14.45" customHeight="1">
      <c r="A855" s="11"/>
      <c r="B855" s="11"/>
      <c r="C855" s="11"/>
      <c r="D855" s="11"/>
      <c r="E855" s="11"/>
      <c r="F855" s="96"/>
      <c r="G855" s="11"/>
      <c r="U855" s="15"/>
    </row>
    <row r="856" spans="1:21" ht="14.45" customHeight="1">
      <c r="A856" s="11"/>
      <c r="B856" s="11"/>
      <c r="C856" s="11"/>
      <c r="D856" s="11"/>
      <c r="E856" s="11"/>
      <c r="F856" s="96"/>
      <c r="G856" s="11"/>
      <c r="U856" s="15"/>
    </row>
    <row r="857" spans="1:21" ht="14.45" customHeight="1">
      <c r="A857" s="11"/>
      <c r="B857" s="11"/>
      <c r="C857" s="11"/>
      <c r="D857" s="11"/>
      <c r="E857" s="11"/>
      <c r="F857" s="96"/>
      <c r="G857" s="11"/>
      <c r="U857" s="15"/>
    </row>
    <row r="858" spans="1:21" ht="14.45" customHeight="1">
      <c r="A858" s="11"/>
      <c r="B858" s="11"/>
      <c r="C858" s="11"/>
      <c r="D858" s="11"/>
      <c r="E858" s="11"/>
      <c r="F858" s="96"/>
      <c r="G858" s="11"/>
      <c r="U858" s="15"/>
    </row>
    <row r="859" spans="1:21" ht="14.45" customHeight="1">
      <c r="A859" s="11"/>
      <c r="B859" s="11"/>
      <c r="C859" s="11"/>
      <c r="D859" s="11"/>
      <c r="E859" s="11"/>
      <c r="F859" s="96"/>
      <c r="G859" s="11"/>
      <c r="U859" s="15"/>
    </row>
    <row r="860" spans="1:21" ht="14.45" customHeight="1">
      <c r="A860" s="11"/>
      <c r="B860" s="11"/>
      <c r="C860" s="11"/>
      <c r="D860" s="11"/>
      <c r="E860" s="11"/>
      <c r="F860" s="96"/>
      <c r="G860" s="11"/>
      <c r="U860" s="15"/>
    </row>
    <row r="861" spans="1:21" ht="14.45" customHeight="1">
      <c r="A861" s="11"/>
      <c r="B861" s="11"/>
      <c r="C861" s="11"/>
      <c r="D861" s="11"/>
      <c r="E861" s="11"/>
      <c r="F861" s="96"/>
      <c r="G861" s="11"/>
      <c r="U861" s="15"/>
    </row>
    <row r="862" spans="1:21" ht="14.45" customHeight="1">
      <c r="A862" s="11"/>
      <c r="B862" s="11"/>
      <c r="C862" s="11"/>
      <c r="D862" s="11"/>
      <c r="E862" s="11"/>
      <c r="F862" s="96"/>
      <c r="G862" s="11"/>
      <c r="U862" s="15"/>
    </row>
    <row r="863" spans="1:21" ht="14.45" customHeight="1">
      <c r="A863" s="11"/>
      <c r="B863" s="11"/>
      <c r="C863" s="11"/>
      <c r="D863" s="11"/>
      <c r="E863" s="11"/>
      <c r="F863" s="96"/>
      <c r="G863" s="11"/>
      <c r="U863" s="15"/>
    </row>
    <row r="864" spans="1:21" ht="14.45" customHeight="1">
      <c r="A864" s="20"/>
      <c r="B864" s="20"/>
      <c r="C864" s="20"/>
      <c r="D864" s="20"/>
      <c r="E864" s="20"/>
      <c r="F864" s="102"/>
      <c r="G864" s="20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2"/>
    </row>
    <row r="865" spans="1:22" ht="14.45" customHeight="1">
      <c r="A865" s="11"/>
      <c r="B865" s="11"/>
      <c r="C865" s="11"/>
      <c r="D865" s="11"/>
      <c r="E865" s="11"/>
      <c r="F865" s="96"/>
      <c r="G865" s="11"/>
      <c r="U865" s="15"/>
    </row>
    <row r="866" spans="1:22" ht="14.45" customHeight="1">
      <c r="A866" s="59" t="s">
        <v>1156</v>
      </c>
      <c r="B866" s="20"/>
      <c r="C866" s="20"/>
      <c r="D866" s="20"/>
      <c r="E866" s="20"/>
      <c r="F866" s="103">
        <f>F844+F852+F854</f>
        <v>46742</v>
      </c>
      <c r="G866" s="20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2"/>
    </row>
    <row r="867" spans="1:22" ht="14.45" customHeight="1">
      <c r="A867" s="1123" t="s">
        <v>981</v>
      </c>
      <c r="B867" s="1123"/>
      <c r="C867" s="1123"/>
      <c r="D867" s="6"/>
      <c r="E867" s="6"/>
      <c r="F867" s="80"/>
    </row>
    <row r="868" spans="1:22" ht="14.45" customHeight="1">
      <c r="A868" s="21"/>
      <c r="B868" s="21"/>
      <c r="C868" s="21"/>
      <c r="D868" s="21"/>
      <c r="E868" s="21"/>
      <c r="F868" s="107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</row>
    <row r="869" spans="1:22" ht="25.5" customHeight="1">
      <c r="A869" s="2" t="s">
        <v>1009</v>
      </c>
      <c r="B869" s="2" t="s">
        <v>1010</v>
      </c>
      <c r="C869" s="2" t="s">
        <v>1217</v>
      </c>
      <c r="D869" s="2" t="s">
        <v>1011</v>
      </c>
      <c r="E869" s="2" t="s">
        <v>207</v>
      </c>
      <c r="F869" s="2" t="s">
        <v>54</v>
      </c>
      <c r="G869" s="1119" t="s">
        <v>1766</v>
      </c>
      <c r="H869" s="1120"/>
      <c r="I869" s="1120"/>
      <c r="J869" s="1120"/>
      <c r="K869" s="1120"/>
      <c r="L869" s="1120"/>
      <c r="M869" s="1120"/>
      <c r="N869" s="1120"/>
      <c r="O869" s="1120"/>
      <c r="P869" s="1120"/>
      <c r="Q869" s="1120"/>
      <c r="R869" s="1120"/>
      <c r="S869" s="1120"/>
      <c r="T869" s="1120"/>
      <c r="U869" s="1121"/>
      <c r="V869" s="11"/>
    </row>
    <row r="870" spans="1:22" ht="14.45" customHeight="1">
      <c r="A870" s="11"/>
      <c r="B870" s="11"/>
      <c r="C870" s="11"/>
      <c r="D870" s="11"/>
      <c r="E870" s="11"/>
      <c r="F870" s="96"/>
      <c r="G870" s="11"/>
      <c r="U870" s="9"/>
    </row>
    <row r="871" spans="1:22" ht="14.45" customHeight="1">
      <c r="A871" s="55" t="s">
        <v>1168</v>
      </c>
      <c r="B871" s="55" t="s">
        <v>1261</v>
      </c>
      <c r="C871" s="11"/>
      <c r="D871" s="55" t="s">
        <v>1328</v>
      </c>
      <c r="E871" s="11"/>
      <c r="F871" s="97">
        <f>U871</f>
        <v>0</v>
      </c>
      <c r="G871" s="101"/>
      <c r="H871" s="14"/>
      <c r="J871" s="28"/>
      <c r="L871" s="14"/>
      <c r="N871" s="28"/>
      <c r="O871" s="18"/>
      <c r="P871" s="14"/>
      <c r="R871" s="28"/>
      <c r="T871" s="28"/>
      <c r="U871" s="99"/>
    </row>
    <row r="872" spans="1:22" ht="14.45" customHeight="1">
      <c r="A872" s="11"/>
      <c r="B872" s="11"/>
      <c r="C872" s="11"/>
      <c r="D872" s="11"/>
      <c r="E872" s="11"/>
      <c r="F872" s="96"/>
      <c r="G872" s="96"/>
      <c r="O872" s="18"/>
      <c r="U872" s="100"/>
    </row>
    <row r="873" spans="1:22" ht="14.45" customHeight="1">
      <c r="A873" s="11"/>
      <c r="B873" s="55" t="s">
        <v>1262</v>
      </c>
      <c r="C873" s="11"/>
      <c r="D873" s="55" t="s">
        <v>1023</v>
      </c>
      <c r="E873" s="101"/>
      <c r="F873" s="97">
        <f>TRUNC((C873*E873),1)</f>
        <v>0</v>
      </c>
      <c r="G873" s="101"/>
      <c r="H873" s="14"/>
      <c r="J873" s="28"/>
      <c r="L873" s="14"/>
      <c r="N873" s="28"/>
      <c r="O873" s="18"/>
      <c r="P873" s="14"/>
      <c r="R873" s="28"/>
      <c r="T873" s="28"/>
      <c r="U873" s="99"/>
    </row>
    <row r="874" spans="1:22" ht="14.45" customHeight="1">
      <c r="A874" s="11"/>
      <c r="B874" s="11"/>
      <c r="C874" s="11"/>
      <c r="D874" s="11"/>
      <c r="E874" s="96"/>
      <c r="F874" s="96"/>
      <c r="G874" s="96"/>
      <c r="O874" s="18"/>
      <c r="U874" s="100"/>
    </row>
    <row r="875" spans="1:22" ht="14.45" customHeight="1">
      <c r="A875" s="11"/>
      <c r="B875" s="55" t="s">
        <v>1263</v>
      </c>
      <c r="C875" s="11"/>
      <c r="D875" s="55" t="s">
        <v>1023</v>
      </c>
      <c r="E875" s="101"/>
      <c r="F875" s="97">
        <f>TRUNC((C875*E875),1)</f>
        <v>0</v>
      </c>
      <c r="G875" s="101"/>
      <c r="H875" s="14"/>
      <c r="J875" s="28"/>
      <c r="L875" s="14"/>
      <c r="N875" s="28"/>
      <c r="O875" s="18"/>
      <c r="P875" s="14"/>
      <c r="R875" s="28"/>
      <c r="T875" s="28"/>
      <c r="U875" s="99"/>
    </row>
    <row r="876" spans="1:22" ht="14.45" customHeight="1">
      <c r="A876" s="11"/>
      <c r="B876" s="11"/>
      <c r="C876" s="11"/>
      <c r="D876" s="11"/>
      <c r="E876" s="11"/>
      <c r="F876" s="96"/>
      <c r="G876" s="11"/>
      <c r="U876" s="15"/>
    </row>
    <row r="877" spans="1:22" ht="14.45" customHeight="1">
      <c r="A877" s="20"/>
      <c r="B877" s="59" t="s">
        <v>1020</v>
      </c>
      <c r="C877" s="20"/>
      <c r="D877" s="20"/>
      <c r="E877" s="20"/>
      <c r="F877" s="103">
        <f>INT(F875+F873+F871)</f>
        <v>0</v>
      </c>
      <c r="G877" s="20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2"/>
    </row>
    <row r="878" spans="1:22" ht="14.45" customHeight="1">
      <c r="A878" s="11"/>
      <c r="B878" s="11"/>
      <c r="C878" s="11"/>
      <c r="D878" s="11"/>
      <c r="E878" s="11"/>
      <c r="F878" s="96"/>
      <c r="G878" s="11"/>
      <c r="U878" s="15"/>
    </row>
    <row r="879" spans="1:22" ht="14.45" customHeight="1">
      <c r="A879" s="55" t="s">
        <v>1169</v>
      </c>
      <c r="B879" s="55" t="s">
        <v>1146</v>
      </c>
      <c r="C879" s="11"/>
      <c r="D879" s="55" t="s">
        <v>636</v>
      </c>
      <c r="E879" s="101">
        <f>자재!$F$19</f>
        <v>1528.38</v>
      </c>
      <c r="F879" s="97">
        <f>ROUNDDOWN(E879*C879,1)</f>
        <v>0</v>
      </c>
      <c r="G879" s="11"/>
      <c r="U879" s="15"/>
    </row>
    <row r="880" spans="1:22" ht="14.45" customHeight="1">
      <c r="A880" s="11"/>
      <c r="B880" s="11"/>
      <c r="C880" s="11"/>
      <c r="D880" s="11"/>
      <c r="E880" s="11"/>
      <c r="F880" s="11"/>
      <c r="G880" s="11"/>
      <c r="U880" s="15"/>
    </row>
    <row r="881" spans="1:21" ht="14.45" customHeight="1">
      <c r="A881" s="11"/>
      <c r="B881" s="55" t="s">
        <v>975</v>
      </c>
      <c r="C881" s="11"/>
      <c r="D881" s="11"/>
      <c r="E881" s="101">
        <f>F879</f>
        <v>0</v>
      </c>
      <c r="F881" s="97">
        <f>ROUNDDOWN(E881*C881,1)</f>
        <v>0</v>
      </c>
      <c r="G881" s="11"/>
      <c r="U881" s="15"/>
    </row>
    <row r="882" spans="1:21" ht="14.45" customHeight="1">
      <c r="A882" s="11"/>
      <c r="B882" s="11"/>
      <c r="C882" s="11"/>
      <c r="D882" s="11"/>
      <c r="E882" s="11"/>
      <c r="F882" s="96"/>
      <c r="G882" s="11"/>
      <c r="U882" s="15"/>
    </row>
    <row r="883" spans="1:21" ht="14.45" customHeight="1">
      <c r="A883" s="11"/>
      <c r="B883" s="55"/>
      <c r="C883" s="11"/>
      <c r="D883" s="55"/>
      <c r="E883" s="98"/>
      <c r="F883" s="101"/>
      <c r="G883" s="11"/>
      <c r="U883" s="15"/>
    </row>
    <row r="884" spans="1:21" ht="14.45" customHeight="1">
      <c r="A884" s="11"/>
      <c r="B884" s="11"/>
      <c r="C884" s="11"/>
      <c r="D884" s="11"/>
      <c r="E884" s="11"/>
      <c r="F884" s="96"/>
      <c r="G884" s="11"/>
      <c r="U884" s="15"/>
    </row>
    <row r="885" spans="1:21" ht="14.45" customHeight="1">
      <c r="A885" s="20"/>
      <c r="B885" s="59" t="s">
        <v>1020</v>
      </c>
      <c r="C885" s="20"/>
      <c r="D885" s="20"/>
      <c r="E885" s="20"/>
      <c r="F885" s="103">
        <f>INT(F883+F881+F879)</f>
        <v>0</v>
      </c>
      <c r="G885" s="20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2"/>
    </row>
    <row r="886" spans="1:21" ht="14.45" customHeight="1">
      <c r="A886" s="11"/>
      <c r="B886" s="11"/>
      <c r="C886" s="11"/>
      <c r="D886" s="11"/>
      <c r="E886" s="11"/>
      <c r="F886" s="96"/>
      <c r="G886" s="11"/>
      <c r="U886" s="15"/>
    </row>
    <row r="887" spans="1:21" ht="14.45" customHeight="1">
      <c r="A887" s="55" t="s">
        <v>1170</v>
      </c>
      <c r="B887" s="55" t="s">
        <v>965</v>
      </c>
      <c r="C887" s="11"/>
      <c r="D887" s="11"/>
      <c r="E887" s="11"/>
      <c r="F887" s="105">
        <f>INT(H887*M887*O887)</f>
        <v>80</v>
      </c>
      <c r="G887" s="11"/>
      <c r="H887" s="1127">
        <v>342000</v>
      </c>
      <c r="I887" s="1127"/>
      <c r="J887" s="1127"/>
      <c r="K887" s="1127"/>
      <c r="L887" s="28" t="s">
        <v>921</v>
      </c>
      <c r="M887" s="106">
        <v>2362</v>
      </c>
      <c r="N887" s="10" t="s">
        <v>921</v>
      </c>
      <c r="O887" s="1017">
        <v>9.9999999999999995E-8</v>
      </c>
      <c r="P887" s="1017"/>
      <c r="Q887" s="1017"/>
      <c r="R887" s="1017"/>
      <c r="U887" s="15"/>
    </row>
    <row r="888" spans="1:21" ht="14.45" customHeight="1">
      <c r="A888" s="11"/>
      <c r="B888" s="11"/>
      <c r="C888" s="11"/>
      <c r="D888" s="11"/>
      <c r="E888" s="11"/>
      <c r="F888" s="96"/>
      <c r="G888" s="11"/>
      <c r="U888" s="15"/>
    </row>
    <row r="889" spans="1:21" ht="14.45" customHeight="1">
      <c r="A889" s="11"/>
      <c r="B889" s="11"/>
      <c r="C889" s="11"/>
      <c r="D889" s="11"/>
      <c r="E889" s="11"/>
      <c r="F889" s="96"/>
      <c r="G889" s="11"/>
      <c r="U889" s="15"/>
    </row>
    <row r="890" spans="1:21" ht="14.45" customHeight="1">
      <c r="A890" s="11"/>
      <c r="B890" s="11"/>
      <c r="C890" s="11"/>
      <c r="D890" s="11"/>
      <c r="E890" s="11"/>
      <c r="F890" s="96"/>
      <c r="G890" s="11"/>
      <c r="U890" s="15"/>
    </row>
    <row r="891" spans="1:21" ht="14.45" customHeight="1">
      <c r="A891" s="11"/>
      <c r="B891" s="11"/>
      <c r="C891" s="11"/>
      <c r="D891" s="11"/>
      <c r="E891" s="11"/>
      <c r="F891" s="96"/>
      <c r="G891" s="11"/>
      <c r="U891" s="15"/>
    </row>
    <row r="892" spans="1:21" ht="14.45" customHeight="1">
      <c r="A892" s="11"/>
      <c r="B892" s="11"/>
      <c r="C892" s="11"/>
      <c r="D892" s="11"/>
      <c r="E892" s="11"/>
      <c r="F892" s="96"/>
      <c r="G892" s="11"/>
      <c r="U892" s="15"/>
    </row>
    <row r="893" spans="1:21" ht="14.45" customHeight="1">
      <c r="A893" s="11"/>
      <c r="B893" s="11"/>
      <c r="C893" s="11"/>
      <c r="D893" s="11"/>
      <c r="E893" s="11"/>
      <c r="F893" s="96"/>
      <c r="G893" s="11"/>
      <c r="U893" s="15"/>
    </row>
    <row r="894" spans="1:21" ht="14.45" customHeight="1">
      <c r="A894" s="11"/>
      <c r="B894" s="11"/>
      <c r="C894" s="11"/>
      <c r="D894" s="11"/>
      <c r="E894" s="11"/>
      <c r="F894" s="96"/>
      <c r="G894" s="11"/>
      <c r="U894" s="15"/>
    </row>
    <row r="895" spans="1:21" ht="14.45" customHeight="1">
      <c r="A895" s="11"/>
      <c r="B895" s="11"/>
      <c r="C895" s="11"/>
      <c r="D895" s="11"/>
      <c r="E895" s="11"/>
      <c r="F895" s="96"/>
      <c r="G895" s="11"/>
      <c r="U895" s="15"/>
    </row>
    <row r="896" spans="1:21" ht="14.45" customHeight="1">
      <c r="A896" s="20"/>
      <c r="B896" s="20"/>
      <c r="C896" s="20"/>
      <c r="D896" s="20"/>
      <c r="E896" s="20"/>
      <c r="F896" s="102"/>
      <c r="G896" s="20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2"/>
    </row>
    <row r="897" spans="1:22" ht="14.45" customHeight="1">
      <c r="A897" s="11"/>
      <c r="B897" s="11"/>
      <c r="C897" s="11"/>
      <c r="D897" s="11"/>
      <c r="E897" s="11"/>
      <c r="F897" s="96"/>
      <c r="G897" s="11"/>
      <c r="U897" s="15"/>
    </row>
    <row r="898" spans="1:22" ht="14.45" customHeight="1">
      <c r="A898" s="59" t="s">
        <v>1156</v>
      </c>
      <c r="B898" s="20"/>
      <c r="C898" s="20"/>
      <c r="D898" s="20"/>
      <c r="E898" s="20"/>
      <c r="F898" s="103">
        <f>F877+F885+F887</f>
        <v>80</v>
      </c>
      <c r="G898" s="20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2"/>
    </row>
    <row r="899" spans="1:22" ht="14.45" customHeight="1">
      <c r="A899" s="90" t="s">
        <v>982</v>
      </c>
      <c r="B899" s="6"/>
      <c r="C899" s="6"/>
      <c r="D899" s="6"/>
      <c r="E899" s="6"/>
      <c r="F899" s="80"/>
    </row>
    <row r="900" spans="1:22" ht="14.45" customHeight="1">
      <c r="A900" s="21"/>
      <c r="B900" s="21"/>
      <c r="C900" s="21"/>
      <c r="D900" s="21"/>
      <c r="E900" s="21"/>
      <c r="F900" s="107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1"/>
    </row>
    <row r="901" spans="1:22" ht="25.5" customHeight="1">
      <c r="A901" s="2" t="s">
        <v>1009</v>
      </c>
      <c r="B901" s="2" t="s">
        <v>1010</v>
      </c>
      <c r="C901" s="2" t="s">
        <v>1217</v>
      </c>
      <c r="D901" s="2" t="s">
        <v>1011</v>
      </c>
      <c r="E901" s="2" t="s">
        <v>207</v>
      </c>
      <c r="F901" s="2" t="s">
        <v>54</v>
      </c>
      <c r="G901" s="1119" t="s">
        <v>1766</v>
      </c>
      <c r="H901" s="1120"/>
      <c r="I901" s="1120"/>
      <c r="J901" s="1120"/>
      <c r="K901" s="1120"/>
      <c r="L901" s="1120"/>
      <c r="M901" s="1120"/>
      <c r="N901" s="1120"/>
      <c r="O901" s="1120"/>
      <c r="P901" s="1120"/>
      <c r="Q901" s="1120"/>
      <c r="R901" s="1120"/>
      <c r="S901" s="1120"/>
      <c r="T901" s="1120"/>
      <c r="U901" s="1121"/>
      <c r="V901" s="11"/>
    </row>
    <row r="902" spans="1:22" ht="14.45" customHeight="1">
      <c r="A902" s="11"/>
      <c r="B902" s="11"/>
      <c r="C902" s="11"/>
      <c r="D902" s="11"/>
      <c r="E902" s="11"/>
      <c r="F902" s="96"/>
      <c r="G902" s="11"/>
      <c r="U902" s="15"/>
    </row>
    <row r="903" spans="1:22" ht="14.45" customHeight="1">
      <c r="A903" s="55" t="s">
        <v>1169</v>
      </c>
      <c r="B903" s="55" t="s">
        <v>1146</v>
      </c>
      <c r="C903" s="11">
        <v>0.5</v>
      </c>
      <c r="D903" s="55" t="s">
        <v>636</v>
      </c>
      <c r="E903" s="101">
        <f>자재!$F$19</f>
        <v>1528.38</v>
      </c>
      <c r="F903" s="97">
        <f>ROUNDDOWN(E903*C903,1)</f>
        <v>764.1</v>
      </c>
      <c r="G903" s="11"/>
      <c r="U903" s="15"/>
    </row>
    <row r="904" spans="1:22" ht="14.45" customHeight="1">
      <c r="A904" s="11"/>
      <c r="B904" s="11"/>
      <c r="C904" s="11"/>
      <c r="D904" s="11"/>
      <c r="E904" s="11"/>
      <c r="F904" s="11"/>
      <c r="G904" s="11"/>
      <c r="U904" s="15"/>
    </row>
    <row r="905" spans="1:22" ht="14.45" customHeight="1">
      <c r="A905" s="11"/>
      <c r="B905" s="55" t="s">
        <v>1153</v>
      </c>
      <c r="C905" s="11">
        <v>0.2</v>
      </c>
      <c r="D905" s="11"/>
      <c r="E905" s="101">
        <f>F903</f>
        <v>764.1</v>
      </c>
      <c r="F905" s="97">
        <f>ROUNDDOWN(E905*C905,1)</f>
        <v>152.80000000000001</v>
      </c>
      <c r="G905" s="11"/>
      <c r="U905" s="15"/>
    </row>
    <row r="906" spans="1:22" ht="14.45" customHeight="1">
      <c r="A906" s="11"/>
      <c r="B906" s="11"/>
      <c r="C906" s="11"/>
      <c r="D906" s="11"/>
      <c r="E906" s="11"/>
      <c r="F906" s="96"/>
      <c r="G906" s="11"/>
      <c r="U906" s="15"/>
    </row>
    <row r="907" spans="1:22" ht="14.45" customHeight="1">
      <c r="A907" s="11"/>
      <c r="B907" s="55" t="s">
        <v>177</v>
      </c>
      <c r="C907" s="11"/>
      <c r="D907" s="11"/>
      <c r="E907" s="11"/>
      <c r="F907" s="96"/>
      <c r="G907" s="11"/>
      <c r="U907" s="15"/>
    </row>
    <row r="908" spans="1:22" ht="14.45" customHeight="1">
      <c r="A908" s="11"/>
      <c r="B908" s="11"/>
      <c r="C908" s="11"/>
      <c r="D908" s="11"/>
      <c r="E908" s="11"/>
      <c r="F908" s="96"/>
      <c r="G908" s="11"/>
      <c r="U908" s="15"/>
    </row>
    <row r="909" spans="1:22" ht="14.45" customHeight="1">
      <c r="A909" s="11"/>
      <c r="B909" s="11"/>
      <c r="C909" s="11"/>
      <c r="D909" s="11"/>
      <c r="E909" s="11"/>
      <c r="F909" s="96"/>
      <c r="G909" s="11"/>
      <c r="U909" s="15"/>
    </row>
    <row r="910" spans="1:22" ht="14.45" customHeight="1">
      <c r="A910" s="11"/>
      <c r="B910" s="11"/>
      <c r="C910" s="11"/>
      <c r="D910" s="11"/>
      <c r="E910" s="11"/>
      <c r="F910" s="96"/>
      <c r="G910" s="11"/>
      <c r="U910" s="15"/>
    </row>
    <row r="911" spans="1:22" ht="14.45" customHeight="1">
      <c r="A911" s="11"/>
      <c r="B911" s="11"/>
      <c r="C911" s="11"/>
      <c r="D911" s="11"/>
      <c r="E911" s="11"/>
      <c r="F911" s="96"/>
      <c r="G911" s="11"/>
      <c r="U911" s="15"/>
    </row>
    <row r="912" spans="1:22" ht="14.45" customHeight="1">
      <c r="A912" s="20"/>
      <c r="B912" s="59" t="s">
        <v>1020</v>
      </c>
      <c r="C912" s="20"/>
      <c r="D912" s="20"/>
      <c r="E912" s="20"/>
      <c r="F912" s="115">
        <f>INT(F905+F903)</f>
        <v>916</v>
      </c>
      <c r="G912" s="20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2"/>
    </row>
    <row r="913" spans="1:21" ht="14.45" customHeight="1">
      <c r="A913" s="11"/>
      <c r="B913" s="55" t="s">
        <v>178</v>
      </c>
      <c r="C913" s="11"/>
      <c r="D913" s="11"/>
      <c r="E913" s="11"/>
      <c r="F913" s="116"/>
      <c r="G913" s="11"/>
      <c r="U913" s="15"/>
    </row>
    <row r="914" spans="1:21" ht="14.45" customHeight="1">
      <c r="A914" s="55" t="s">
        <v>1170</v>
      </c>
      <c r="B914" s="55" t="s">
        <v>983</v>
      </c>
      <c r="C914" s="11"/>
      <c r="D914" s="11"/>
      <c r="E914" s="11"/>
      <c r="F914" s="117">
        <f>INT(H914*M914*O914)</f>
        <v>67</v>
      </c>
      <c r="G914" s="11"/>
      <c r="H914" s="1017">
        <f>중기가격!E69</f>
        <v>200000</v>
      </c>
      <c r="I914" s="1017"/>
      <c r="J914" s="1017"/>
      <c r="K914" s="1017"/>
      <c r="L914" s="28" t="s">
        <v>921</v>
      </c>
      <c r="M914" s="106">
        <v>3375</v>
      </c>
      <c r="N914" s="10" t="s">
        <v>921</v>
      </c>
      <c r="O914" s="1017">
        <v>9.9999999999999995E-8</v>
      </c>
      <c r="P914" s="1017"/>
      <c r="Q914" s="1017"/>
      <c r="R914" s="1017"/>
      <c r="U914" s="15"/>
    </row>
    <row r="915" spans="1:21" ht="14.45" customHeight="1">
      <c r="A915" s="11"/>
      <c r="B915" s="11"/>
      <c r="C915" s="11"/>
      <c r="D915" s="11"/>
      <c r="E915" s="11"/>
      <c r="F915" s="116"/>
      <c r="G915" s="11"/>
      <c r="U915" s="15"/>
    </row>
    <row r="916" spans="1:21" ht="14.45" customHeight="1">
      <c r="A916" s="11"/>
      <c r="B916" s="55" t="s">
        <v>984</v>
      </c>
      <c r="C916" s="11"/>
      <c r="D916" s="11"/>
      <c r="E916" s="11"/>
      <c r="F916" s="105">
        <f>INT(H916*M916*O916)</f>
        <v>77</v>
      </c>
      <c r="G916" s="11"/>
      <c r="H916" s="1017">
        <f>중기가격!E67</f>
        <v>284000</v>
      </c>
      <c r="I916" s="1017"/>
      <c r="J916" s="1017"/>
      <c r="K916" s="1017"/>
      <c r="L916" s="28" t="s">
        <v>921</v>
      </c>
      <c r="M916" s="106">
        <v>2731</v>
      </c>
      <c r="N916" s="10" t="s">
        <v>921</v>
      </c>
      <c r="O916" s="1017">
        <v>9.9999999999999995E-8</v>
      </c>
      <c r="P916" s="1017"/>
      <c r="Q916" s="1017"/>
      <c r="R916" s="1017"/>
      <c r="U916" s="15"/>
    </row>
    <row r="917" spans="1:21" ht="14.45" customHeight="1">
      <c r="A917" s="11"/>
      <c r="B917" s="11"/>
      <c r="C917" s="11"/>
      <c r="D917" s="11"/>
      <c r="E917" s="11"/>
      <c r="F917" s="96"/>
      <c r="G917" s="11"/>
      <c r="U917" s="15"/>
    </row>
    <row r="918" spans="1:21" ht="14.45" customHeight="1">
      <c r="A918" s="11"/>
      <c r="B918" s="55" t="s">
        <v>986</v>
      </c>
      <c r="C918" s="11"/>
      <c r="D918" s="11"/>
      <c r="E918" s="11"/>
      <c r="F918" s="105">
        <f>INT(H918*M918*O918)</f>
        <v>11</v>
      </c>
      <c r="G918" s="11"/>
      <c r="H918" s="1017">
        <f>중기가격!E70</f>
        <v>18246</v>
      </c>
      <c r="I918" s="1017"/>
      <c r="J918" s="1017"/>
      <c r="K918" s="1017"/>
      <c r="L918" s="28" t="s">
        <v>921</v>
      </c>
      <c r="M918" s="106">
        <v>6250</v>
      </c>
      <c r="N918" s="10" t="s">
        <v>921</v>
      </c>
      <c r="O918" s="1017">
        <v>9.9999999999999995E-8</v>
      </c>
      <c r="P918" s="1017"/>
      <c r="Q918" s="1017"/>
      <c r="R918" s="1017"/>
      <c r="U918" s="15"/>
    </row>
    <row r="919" spans="1:21" ht="14.45" customHeight="1">
      <c r="A919" s="11"/>
      <c r="B919" s="11"/>
      <c r="C919" s="11"/>
      <c r="D919" s="11"/>
      <c r="E919" s="11"/>
      <c r="F919" s="96"/>
      <c r="G919" s="11"/>
      <c r="U919" s="15"/>
    </row>
    <row r="920" spans="1:21" ht="14.45" customHeight="1">
      <c r="A920" s="11"/>
      <c r="B920" s="11"/>
      <c r="C920" s="11"/>
      <c r="D920" s="11"/>
      <c r="E920" s="11"/>
      <c r="F920" s="96"/>
      <c r="G920" s="11"/>
      <c r="U920" s="15"/>
    </row>
    <row r="921" spans="1:21" ht="14.45" customHeight="1">
      <c r="A921" s="11"/>
      <c r="B921" s="11"/>
      <c r="C921" s="11"/>
      <c r="D921" s="11"/>
      <c r="E921" s="11"/>
      <c r="F921" s="96"/>
      <c r="G921" s="11"/>
      <c r="U921" s="15"/>
    </row>
    <row r="922" spans="1:21" ht="14.45" customHeight="1">
      <c r="A922" s="11"/>
      <c r="B922" s="11"/>
      <c r="C922" s="11"/>
      <c r="D922" s="11"/>
      <c r="E922" s="11"/>
      <c r="F922" s="96"/>
      <c r="G922" s="11"/>
      <c r="U922" s="15"/>
    </row>
    <row r="923" spans="1:21" ht="14.45" customHeight="1">
      <c r="A923" s="11"/>
      <c r="B923" s="11"/>
      <c r="C923" s="11"/>
      <c r="D923" s="11"/>
      <c r="E923" s="11"/>
      <c r="F923" s="96"/>
      <c r="G923" s="11"/>
      <c r="U923" s="15"/>
    </row>
    <row r="924" spans="1:21" ht="14.45" customHeight="1">
      <c r="A924" s="11"/>
      <c r="B924" s="11"/>
      <c r="C924" s="11"/>
      <c r="D924" s="11"/>
      <c r="E924" s="11"/>
      <c r="F924" s="96"/>
      <c r="G924" s="11"/>
      <c r="U924" s="15"/>
    </row>
    <row r="925" spans="1:21" ht="14.45" customHeight="1">
      <c r="A925" s="11"/>
      <c r="B925" s="11"/>
      <c r="C925" s="11"/>
      <c r="D925" s="11"/>
      <c r="E925" s="11"/>
      <c r="F925" s="96"/>
      <c r="G925" s="11"/>
      <c r="U925" s="15"/>
    </row>
    <row r="926" spans="1:21" ht="14.45" customHeight="1">
      <c r="A926" s="11"/>
      <c r="B926" s="11"/>
      <c r="C926" s="11"/>
      <c r="D926" s="11"/>
      <c r="E926" s="11"/>
      <c r="F926" s="96"/>
      <c r="G926" s="11"/>
      <c r="U926" s="15"/>
    </row>
    <row r="927" spans="1:21" ht="14.45" customHeight="1">
      <c r="A927" s="11"/>
      <c r="B927" s="11"/>
      <c r="C927" s="11"/>
      <c r="D927" s="11"/>
      <c r="E927" s="11"/>
      <c r="F927" s="96"/>
      <c r="G927" s="11"/>
      <c r="U927" s="15"/>
    </row>
    <row r="928" spans="1:21" ht="14.45" customHeight="1">
      <c r="A928" s="20"/>
      <c r="B928" s="59" t="s">
        <v>1020</v>
      </c>
      <c r="C928" s="20"/>
      <c r="D928" s="20"/>
      <c r="E928" s="20"/>
      <c r="F928" s="103">
        <f>F918+F916+F914</f>
        <v>155</v>
      </c>
      <c r="G928" s="20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2"/>
    </row>
    <row r="929" spans="1:22" ht="14.45" customHeight="1">
      <c r="A929" s="11"/>
      <c r="B929" s="11"/>
      <c r="C929" s="11"/>
      <c r="D929" s="11"/>
      <c r="E929" s="11"/>
      <c r="F929" s="96"/>
      <c r="G929" s="11"/>
      <c r="U929" s="15"/>
    </row>
    <row r="930" spans="1:22" ht="14.45" customHeight="1">
      <c r="A930" s="59" t="s">
        <v>1156</v>
      </c>
      <c r="B930" s="20"/>
      <c r="C930" s="20"/>
      <c r="D930" s="20"/>
      <c r="E930" s="20"/>
      <c r="F930" s="103">
        <f>F928+F912</f>
        <v>1071</v>
      </c>
      <c r="G930" s="20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2"/>
    </row>
    <row r="931" spans="1:22" ht="14.45" customHeight="1">
      <c r="A931" s="90" t="s">
        <v>952</v>
      </c>
      <c r="B931" s="6"/>
      <c r="C931" s="6"/>
      <c r="F931" s="80"/>
    </row>
    <row r="932" spans="1:22" ht="14.45" customHeight="1">
      <c r="A932" s="21"/>
      <c r="B932" s="21"/>
      <c r="C932" s="21"/>
      <c r="D932" s="21"/>
      <c r="E932" s="21"/>
      <c r="F932" s="107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</row>
    <row r="933" spans="1:22" ht="25.5" customHeight="1">
      <c r="A933" s="2" t="s">
        <v>1009</v>
      </c>
      <c r="B933" s="2" t="s">
        <v>1010</v>
      </c>
      <c r="C933" s="2" t="s">
        <v>1217</v>
      </c>
      <c r="D933" s="2" t="s">
        <v>1011</v>
      </c>
      <c r="E933" s="2" t="s">
        <v>207</v>
      </c>
      <c r="F933" s="2" t="s">
        <v>54</v>
      </c>
      <c r="G933" s="1119" t="s">
        <v>1766</v>
      </c>
      <c r="H933" s="1120"/>
      <c r="I933" s="1120"/>
      <c r="J933" s="1120"/>
      <c r="K933" s="1120"/>
      <c r="L933" s="1120"/>
      <c r="M933" s="1120"/>
      <c r="N933" s="1120"/>
      <c r="O933" s="1120"/>
      <c r="P933" s="1120"/>
      <c r="Q933" s="1120"/>
      <c r="R933" s="1120"/>
      <c r="S933" s="1120"/>
      <c r="T933" s="1120"/>
      <c r="U933" s="1121"/>
      <c r="V933" s="11"/>
    </row>
    <row r="934" spans="1:22" ht="14.45" customHeight="1">
      <c r="A934" s="11"/>
      <c r="B934" s="11"/>
      <c r="C934" s="11"/>
      <c r="D934" s="11"/>
      <c r="E934" s="11"/>
      <c r="F934" s="96"/>
      <c r="G934" s="11"/>
      <c r="U934" s="15"/>
      <c r="V934" s="11"/>
    </row>
    <row r="935" spans="1:22" ht="14.45" customHeight="1">
      <c r="A935" s="55" t="s">
        <v>1168</v>
      </c>
      <c r="B935" s="55" t="s">
        <v>1261</v>
      </c>
      <c r="C935" s="11">
        <v>1</v>
      </c>
      <c r="D935" s="55" t="s">
        <v>1328</v>
      </c>
      <c r="E935" s="111">
        <f>U935</f>
        <v>57077</v>
      </c>
      <c r="F935" s="97">
        <f>U935</f>
        <v>57077</v>
      </c>
      <c r="G935" s="98">
        <f>노임!$F$3</f>
        <v>273971</v>
      </c>
      <c r="H935" s="28" t="s">
        <v>683</v>
      </c>
      <c r="I935" s="28">
        <v>1</v>
      </c>
      <c r="J935" s="28" t="s">
        <v>682</v>
      </c>
      <c r="K935" s="28">
        <v>8</v>
      </c>
      <c r="L935" s="28" t="s">
        <v>683</v>
      </c>
      <c r="M935" s="28">
        <v>25</v>
      </c>
      <c r="N935" s="28" t="s">
        <v>682</v>
      </c>
      <c r="O935" s="28">
        <v>20</v>
      </c>
      <c r="P935" s="28" t="s">
        <v>683</v>
      </c>
      <c r="Q935" s="28">
        <v>16</v>
      </c>
      <c r="R935" s="28" t="s">
        <v>682</v>
      </c>
      <c r="S935" s="28">
        <v>12</v>
      </c>
      <c r="T935" s="28" t="s">
        <v>1167</v>
      </c>
      <c r="U935" s="99">
        <f>INT(G935*I935/K935*M935/O935*Q935/S935)</f>
        <v>57077</v>
      </c>
      <c r="V935" s="11"/>
    </row>
    <row r="936" spans="1:22" ht="14.45" customHeight="1">
      <c r="A936" s="11"/>
      <c r="B936" s="11"/>
      <c r="C936" s="11"/>
      <c r="D936" s="11"/>
      <c r="E936" s="11"/>
      <c r="F936" s="96"/>
      <c r="G936" s="96"/>
      <c r="H936" s="28"/>
      <c r="I936" s="28"/>
      <c r="J936" s="28"/>
      <c r="K936" s="28"/>
      <c r="L936" s="28"/>
      <c r="M936" s="28"/>
      <c r="N936" s="28"/>
      <c r="O936" s="388"/>
      <c r="P936" s="28"/>
      <c r="Q936" s="28"/>
      <c r="R936" s="28"/>
      <c r="S936" s="28"/>
      <c r="T936" s="28"/>
      <c r="U936" s="100"/>
      <c r="V936" s="11"/>
    </row>
    <row r="937" spans="1:22" ht="14.45" customHeight="1">
      <c r="A937" s="11"/>
      <c r="B937" s="55" t="s">
        <v>1262</v>
      </c>
      <c r="C937" s="11"/>
      <c r="D937" s="55" t="s">
        <v>1023</v>
      </c>
      <c r="E937" s="11">
        <f>U937</f>
        <v>0</v>
      </c>
      <c r="F937" s="97">
        <f>TRUNC((C937*E937),1)</f>
        <v>0</v>
      </c>
      <c r="G937" s="101">
        <f>G905</f>
        <v>0</v>
      </c>
      <c r="H937" s="28" t="s">
        <v>683</v>
      </c>
      <c r="I937" s="28">
        <v>1</v>
      </c>
      <c r="J937" s="28" t="s">
        <v>682</v>
      </c>
      <c r="K937" s="28">
        <v>8</v>
      </c>
      <c r="L937" s="28" t="s">
        <v>683</v>
      </c>
      <c r="M937" s="28">
        <v>25</v>
      </c>
      <c r="N937" s="28" t="s">
        <v>682</v>
      </c>
      <c r="O937" s="28">
        <v>20</v>
      </c>
      <c r="P937" s="28" t="s">
        <v>683</v>
      </c>
      <c r="Q937" s="28">
        <v>16</v>
      </c>
      <c r="R937" s="28" t="s">
        <v>682</v>
      </c>
      <c r="S937" s="28">
        <v>12</v>
      </c>
      <c r="T937" s="28" t="s">
        <v>1167</v>
      </c>
      <c r="U937" s="99">
        <f>INT(G937*I937/K937*M937/O937*Q937/S937)</f>
        <v>0</v>
      </c>
      <c r="V937" s="11"/>
    </row>
    <row r="938" spans="1:22" ht="14.45" customHeight="1">
      <c r="A938" s="11"/>
      <c r="B938" s="11"/>
      <c r="C938" s="11"/>
      <c r="D938" s="11"/>
      <c r="E938" s="11"/>
      <c r="F938" s="96"/>
      <c r="G938" s="96"/>
      <c r="H938" s="28"/>
      <c r="I938" s="28"/>
      <c r="J938" s="28"/>
      <c r="K938" s="28"/>
      <c r="L938" s="28"/>
      <c r="M938" s="28"/>
      <c r="N938" s="28"/>
      <c r="O938" s="388"/>
      <c r="P938" s="28"/>
      <c r="Q938" s="28"/>
      <c r="R938" s="28"/>
      <c r="S938" s="28"/>
      <c r="T938" s="28"/>
      <c r="U938" s="100"/>
      <c r="V938" s="11"/>
    </row>
    <row r="939" spans="1:22" ht="14.45" customHeight="1">
      <c r="A939" s="11"/>
      <c r="B939" s="55" t="s">
        <v>1263</v>
      </c>
      <c r="C939" s="11"/>
      <c r="D939" s="55" t="s">
        <v>1023</v>
      </c>
      <c r="E939" s="11">
        <f>U939</f>
        <v>0</v>
      </c>
      <c r="F939" s="97">
        <f>TRUNC((C939*E939),1)</f>
        <v>0</v>
      </c>
      <c r="G939" s="101">
        <f>G907</f>
        <v>0</v>
      </c>
      <c r="H939" s="28" t="s">
        <v>683</v>
      </c>
      <c r="I939" s="28">
        <v>1</v>
      </c>
      <c r="J939" s="28" t="s">
        <v>682</v>
      </c>
      <c r="K939" s="28">
        <v>8</v>
      </c>
      <c r="L939" s="28" t="s">
        <v>683</v>
      </c>
      <c r="M939" s="28">
        <v>25</v>
      </c>
      <c r="N939" s="28" t="s">
        <v>682</v>
      </c>
      <c r="O939" s="28">
        <v>20</v>
      </c>
      <c r="P939" s="28" t="s">
        <v>683</v>
      </c>
      <c r="Q939" s="28">
        <v>16</v>
      </c>
      <c r="R939" s="28" t="s">
        <v>682</v>
      </c>
      <c r="S939" s="28">
        <v>12</v>
      </c>
      <c r="T939" s="28" t="s">
        <v>1167</v>
      </c>
      <c r="U939" s="99">
        <f>INT(G939*I939/K939*M939/O939*Q939/S939)</f>
        <v>0</v>
      </c>
      <c r="V939" s="11"/>
    </row>
    <row r="940" spans="1:22" ht="14.45" customHeight="1">
      <c r="A940" s="11"/>
      <c r="B940" s="11"/>
      <c r="C940" s="11"/>
      <c r="D940" s="11"/>
      <c r="E940" s="11"/>
      <c r="F940" s="96"/>
      <c r="G940" s="96"/>
      <c r="O940" s="16"/>
      <c r="U940" s="15"/>
      <c r="V940" s="11"/>
    </row>
    <row r="941" spans="1:22" ht="14.45" customHeight="1">
      <c r="A941" s="20"/>
      <c r="B941" s="59" t="s">
        <v>1020</v>
      </c>
      <c r="C941" s="20"/>
      <c r="D941" s="20"/>
      <c r="E941" s="20"/>
      <c r="F941" s="103">
        <f>INT(F939+F937+F935)</f>
        <v>57077</v>
      </c>
      <c r="G941" s="102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  <c r="S941" s="21"/>
      <c r="T941" s="21"/>
      <c r="U941" s="22"/>
      <c r="V941" s="11"/>
    </row>
    <row r="942" spans="1:22" ht="14.45" customHeight="1">
      <c r="A942" s="11"/>
      <c r="B942" s="11"/>
      <c r="C942" s="11"/>
      <c r="D942" s="11"/>
      <c r="E942" s="11"/>
      <c r="F942" s="96"/>
      <c r="G942" s="11"/>
      <c r="U942" s="15"/>
      <c r="V942" s="11"/>
    </row>
    <row r="943" spans="1:22" ht="14.45" customHeight="1">
      <c r="A943" s="55" t="s">
        <v>1169</v>
      </c>
      <c r="B943" s="55" t="s">
        <v>1146</v>
      </c>
      <c r="C943" s="11">
        <v>14.7</v>
      </c>
      <c r="D943" s="55" t="s">
        <v>636</v>
      </c>
      <c r="E943" s="101">
        <f>자재!$F$19</f>
        <v>1528.38</v>
      </c>
      <c r="F943" s="97">
        <f>ROUNDDOWN(E943*C943,1)</f>
        <v>22467.1</v>
      </c>
      <c r="G943" s="11"/>
      <c r="U943" s="15"/>
      <c r="V943" s="11"/>
    </row>
    <row r="944" spans="1:22" ht="14.45" customHeight="1">
      <c r="A944" s="11"/>
      <c r="B944" s="11"/>
      <c r="C944" s="11"/>
      <c r="D944" s="11"/>
      <c r="E944" s="11"/>
      <c r="F944" s="11"/>
      <c r="G944" s="11"/>
      <c r="U944" s="15"/>
      <c r="V944" s="11"/>
    </row>
    <row r="945" spans="1:22" ht="14.45" customHeight="1">
      <c r="A945" s="11"/>
      <c r="B945" s="55" t="s">
        <v>215</v>
      </c>
      <c r="C945" s="11">
        <v>0.35</v>
      </c>
      <c r="D945" s="11"/>
      <c r="E945" s="101">
        <f>F943</f>
        <v>22467.1</v>
      </c>
      <c r="F945" s="97">
        <f>ROUNDDOWN(E945*C945,1)</f>
        <v>7863.4</v>
      </c>
      <c r="G945" s="11"/>
      <c r="U945" s="15"/>
      <c r="V945" s="11"/>
    </row>
    <row r="946" spans="1:22" ht="14.45" customHeight="1">
      <c r="A946" s="11"/>
      <c r="B946" s="11"/>
      <c r="C946" s="11"/>
      <c r="D946" s="11"/>
      <c r="E946" s="11"/>
      <c r="F946" s="96"/>
      <c r="G946" s="11"/>
      <c r="U946" s="15"/>
      <c r="V946" s="11"/>
    </row>
    <row r="947" spans="1:22" ht="14.45" customHeight="1">
      <c r="A947" s="11"/>
      <c r="B947" s="11"/>
      <c r="C947" s="11"/>
      <c r="D947" s="11"/>
      <c r="E947" s="11"/>
      <c r="F947" s="96"/>
      <c r="G947" s="11"/>
      <c r="U947" s="15"/>
      <c r="V947" s="11"/>
    </row>
    <row r="948" spans="1:22" ht="14.45" customHeight="1">
      <c r="A948" s="11"/>
      <c r="B948" s="11"/>
      <c r="C948" s="11"/>
      <c r="D948" s="11"/>
      <c r="E948" s="11"/>
      <c r="F948" s="96"/>
      <c r="G948" s="11"/>
      <c r="U948" s="15"/>
      <c r="V948" s="11"/>
    </row>
    <row r="949" spans="1:22" ht="14.45" customHeight="1">
      <c r="A949" s="11"/>
      <c r="B949" s="11"/>
      <c r="C949" s="11"/>
      <c r="D949" s="11"/>
      <c r="E949" s="11"/>
      <c r="F949" s="96"/>
      <c r="G949" s="11"/>
      <c r="U949" s="15"/>
      <c r="V949" s="11"/>
    </row>
    <row r="950" spans="1:22" ht="14.45" customHeight="1">
      <c r="A950" s="11"/>
      <c r="B950" s="11"/>
      <c r="C950" s="11"/>
      <c r="D950" s="11"/>
      <c r="E950" s="11"/>
      <c r="F950" s="96"/>
      <c r="G950" s="11"/>
      <c r="U950" s="15"/>
      <c r="V950" s="11"/>
    </row>
    <row r="951" spans="1:22" ht="14.45" customHeight="1">
      <c r="A951" s="20"/>
      <c r="B951" s="59" t="s">
        <v>1020</v>
      </c>
      <c r="C951" s="20"/>
      <c r="D951" s="20"/>
      <c r="E951" s="20"/>
      <c r="F951" s="103">
        <f>INT(F945+F943)</f>
        <v>30330</v>
      </c>
      <c r="G951" s="20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2"/>
      <c r="V951" s="11"/>
    </row>
    <row r="952" spans="1:22" ht="14.45" customHeight="1">
      <c r="A952" s="11"/>
      <c r="B952" s="11"/>
      <c r="C952" s="11"/>
      <c r="D952" s="11"/>
      <c r="E952" s="11"/>
      <c r="F952" s="96"/>
      <c r="G952" s="11"/>
      <c r="U952" s="15"/>
      <c r="V952" s="11"/>
    </row>
    <row r="953" spans="1:22" ht="14.45" customHeight="1">
      <c r="A953" s="55" t="s">
        <v>1170</v>
      </c>
      <c r="B953" s="55" t="s">
        <v>1147</v>
      </c>
      <c r="C953" s="11"/>
      <c r="D953" s="11"/>
      <c r="E953" s="11"/>
      <c r="F953" s="105">
        <f>INT(H953*M953*O953)</f>
        <v>45486</v>
      </c>
      <c r="G953" s="11"/>
      <c r="H953" s="1126">
        <f>중기가격!E43</f>
        <v>172299000</v>
      </c>
      <c r="I953" s="1126"/>
      <c r="J953" s="1126"/>
      <c r="K953" s="1126"/>
      <c r="L953" s="28" t="s">
        <v>921</v>
      </c>
      <c r="M953" s="106">
        <v>2640</v>
      </c>
      <c r="N953" s="10" t="s">
        <v>921</v>
      </c>
      <c r="O953" s="1017">
        <v>9.9999999999999995E-8</v>
      </c>
      <c r="P953" s="1017"/>
      <c r="Q953" s="1017"/>
      <c r="R953" s="1017"/>
      <c r="U953" s="15"/>
      <c r="V953" s="11"/>
    </row>
    <row r="954" spans="1:22" ht="14.45" customHeight="1">
      <c r="A954" s="11"/>
      <c r="B954" s="11"/>
      <c r="C954" s="11"/>
      <c r="D954" s="11"/>
      <c r="E954" s="11"/>
      <c r="F954" s="96"/>
      <c r="G954" s="11"/>
      <c r="U954" s="15"/>
      <c r="V954" s="11"/>
    </row>
    <row r="955" spans="1:22" ht="14.45" customHeight="1">
      <c r="A955" s="11"/>
      <c r="B955" s="11"/>
      <c r="C955" s="11"/>
      <c r="D955" s="11"/>
      <c r="E955" s="11"/>
      <c r="F955" s="96"/>
      <c r="G955" s="11"/>
      <c r="U955" s="15"/>
      <c r="V955" s="11"/>
    </row>
    <row r="956" spans="1:22" ht="14.45" customHeight="1">
      <c r="A956" s="11"/>
      <c r="B956" s="11"/>
      <c r="C956" s="11"/>
      <c r="D956" s="11"/>
      <c r="E956" s="11"/>
      <c r="F956" s="96"/>
      <c r="G956" s="11"/>
      <c r="U956" s="15"/>
      <c r="V956" s="11"/>
    </row>
    <row r="957" spans="1:22" ht="14.45" customHeight="1">
      <c r="A957" s="11"/>
      <c r="B957" s="11"/>
      <c r="C957" s="11"/>
      <c r="D957" s="11"/>
      <c r="E957" s="11"/>
      <c r="F957" s="96"/>
      <c r="G957" s="11"/>
      <c r="U957" s="15"/>
      <c r="V957" s="11"/>
    </row>
    <row r="958" spans="1:22" ht="14.45" customHeight="1">
      <c r="A958" s="11"/>
      <c r="B958" s="11"/>
      <c r="C958" s="11"/>
      <c r="D958" s="11"/>
      <c r="E958" s="11"/>
      <c r="F958" s="96"/>
      <c r="G958" s="11"/>
      <c r="U958" s="15"/>
      <c r="V958" s="11"/>
    </row>
    <row r="959" spans="1:22" ht="14.45" customHeight="1">
      <c r="A959" s="11"/>
      <c r="B959" s="11"/>
      <c r="C959" s="11"/>
      <c r="D959" s="11"/>
      <c r="E959" s="11"/>
      <c r="F959" s="96"/>
      <c r="G959" s="11"/>
      <c r="U959" s="15"/>
      <c r="V959" s="11"/>
    </row>
    <row r="960" spans="1:22" ht="14.45" customHeight="1">
      <c r="A960" s="20"/>
      <c r="B960" s="20"/>
      <c r="C960" s="20"/>
      <c r="D960" s="20"/>
      <c r="E960" s="20"/>
      <c r="F960" s="102"/>
      <c r="G960" s="20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2"/>
      <c r="V960" s="11"/>
    </row>
    <row r="961" spans="1:22" ht="14.45" customHeight="1">
      <c r="A961" s="11"/>
      <c r="B961" s="11"/>
      <c r="C961" s="11"/>
      <c r="D961" s="11"/>
      <c r="E961" s="11"/>
      <c r="F961" s="96"/>
      <c r="G961" s="11"/>
      <c r="U961" s="15"/>
      <c r="V961" s="11"/>
    </row>
    <row r="962" spans="1:22" ht="14.45" customHeight="1">
      <c r="A962" s="59" t="s">
        <v>1156</v>
      </c>
      <c r="B962" s="20"/>
      <c r="C962" s="20"/>
      <c r="D962" s="20"/>
      <c r="E962" s="20"/>
      <c r="F962" s="103">
        <f>F941+F951+F953</f>
        <v>132893</v>
      </c>
      <c r="G962" s="20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  <c r="S962" s="21"/>
      <c r="T962" s="21"/>
      <c r="U962" s="22"/>
      <c r="V962" s="11"/>
    </row>
    <row r="963" spans="1:22" ht="14.45" customHeight="1">
      <c r="A963" s="1123" t="s">
        <v>1655</v>
      </c>
      <c r="B963" s="1123"/>
      <c r="C963" s="1123"/>
      <c r="D963" s="6"/>
      <c r="E963" s="6"/>
      <c r="F963" s="80"/>
    </row>
    <row r="964" spans="1:22" ht="14.45" customHeight="1">
      <c r="A964" s="21"/>
      <c r="B964" s="21"/>
      <c r="C964" s="21"/>
      <c r="D964" s="21"/>
      <c r="E964" s="21"/>
      <c r="F964" s="107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  <c r="S964" s="21"/>
      <c r="T964" s="21"/>
      <c r="U964" s="21"/>
    </row>
    <row r="965" spans="1:22" ht="25.5" customHeight="1">
      <c r="A965" s="2" t="s">
        <v>1009</v>
      </c>
      <c r="B965" s="2" t="s">
        <v>1010</v>
      </c>
      <c r="C965" s="2" t="s">
        <v>1217</v>
      </c>
      <c r="D965" s="2" t="s">
        <v>1011</v>
      </c>
      <c r="E965" s="2" t="s">
        <v>207</v>
      </c>
      <c r="F965" s="2" t="s">
        <v>54</v>
      </c>
      <c r="G965" s="1119" t="s">
        <v>1766</v>
      </c>
      <c r="H965" s="1120"/>
      <c r="I965" s="1120"/>
      <c r="J965" s="1120"/>
      <c r="K965" s="1120"/>
      <c r="L965" s="1120"/>
      <c r="M965" s="1120"/>
      <c r="N965" s="1120"/>
      <c r="O965" s="1120"/>
      <c r="P965" s="1120"/>
      <c r="Q965" s="1120"/>
      <c r="R965" s="1120"/>
      <c r="S965" s="1120"/>
      <c r="T965" s="1120"/>
      <c r="U965" s="1121"/>
      <c r="V965" s="11"/>
    </row>
    <row r="966" spans="1:22" ht="14.45" customHeight="1">
      <c r="A966" s="11"/>
      <c r="B966" s="11"/>
      <c r="C966" s="11"/>
      <c r="D966" s="11"/>
      <c r="E966" s="11"/>
      <c r="F966" s="96"/>
      <c r="G966" s="11"/>
      <c r="U966" s="9"/>
    </row>
    <row r="967" spans="1:22" ht="14.45" customHeight="1">
      <c r="A967" s="55" t="s">
        <v>1168</v>
      </c>
      <c r="B967" s="55" t="s">
        <v>1261</v>
      </c>
      <c r="C967" s="11"/>
      <c r="D967" s="55" t="s">
        <v>1328</v>
      </c>
      <c r="E967" s="11"/>
      <c r="F967" s="97">
        <f>U967</f>
        <v>0</v>
      </c>
      <c r="G967" s="101"/>
      <c r="H967" s="14"/>
      <c r="J967" s="28"/>
      <c r="L967" s="14"/>
      <c r="N967" s="28"/>
      <c r="O967" s="18"/>
      <c r="P967" s="14"/>
      <c r="R967" s="28"/>
      <c r="T967" s="28"/>
      <c r="U967" s="99"/>
    </row>
    <row r="968" spans="1:22" ht="14.45" customHeight="1">
      <c r="A968" s="11"/>
      <c r="B968" s="11"/>
      <c r="C968" s="11"/>
      <c r="D968" s="11"/>
      <c r="E968" s="11"/>
      <c r="F968" s="96"/>
      <c r="G968" s="96"/>
      <c r="O968" s="18"/>
      <c r="U968" s="100"/>
    </row>
    <row r="969" spans="1:22" ht="14.45" customHeight="1">
      <c r="A969" s="11"/>
      <c r="B969" s="55" t="s">
        <v>1262</v>
      </c>
      <c r="C969" s="11"/>
      <c r="D969" s="55" t="s">
        <v>1023</v>
      </c>
      <c r="E969" s="101"/>
      <c r="F969" s="97">
        <f>TRUNC((C969*E969),1)</f>
        <v>0</v>
      </c>
      <c r="G969" s="101"/>
      <c r="H969" s="14"/>
      <c r="J969" s="28"/>
      <c r="L969" s="14"/>
      <c r="N969" s="28"/>
      <c r="O969" s="18"/>
      <c r="P969" s="14"/>
      <c r="R969" s="28"/>
      <c r="T969" s="28"/>
      <c r="U969" s="99"/>
    </row>
    <row r="970" spans="1:22" ht="14.45" customHeight="1">
      <c r="A970" s="11"/>
      <c r="B970" s="11"/>
      <c r="C970" s="11"/>
      <c r="D970" s="11"/>
      <c r="E970" s="96"/>
      <c r="F970" s="96"/>
      <c r="G970" s="96"/>
      <c r="O970" s="18"/>
      <c r="U970" s="100"/>
    </row>
    <row r="971" spans="1:22" ht="14.45" customHeight="1">
      <c r="A971" s="11"/>
      <c r="B971" s="55" t="s">
        <v>1263</v>
      </c>
      <c r="C971" s="11"/>
      <c r="D971" s="55" t="s">
        <v>1023</v>
      </c>
      <c r="E971" s="101"/>
      <c r="F971" s="97">
        <f>TRUNC((C971*E971),1)</f>
        <v>0</v>
      </c>
      <c r="G971" s="101"/>
      <c r="H971" s="14"/>
      <c r="J971" s="28"/>
      <c r="L971" s="14"/>
      <c r="N971" s="28"/>
      <c r="O971" s="18"/>
      <c r="P971" s="14"/>
      <c r="R971" s="28"/>
      <c r="T971" s="28"/>
      <c r="U971" s="99"/>
    </row>
    <row r="972" spans="1:22" ht="14.45" customHeight="1">
      <c r="A972" s="11"/>
      <c r="B972" s="11"/>
      <c r="C972" s="11"/>
      <c r="D972" s="11"/>
      <c r="E972" s="11"/>
      <c r="F972" s="96"/>
      <c r="G972" s="11"/>
      <c r="U972" s="15"/>
    </row>
    <row r="973" spans="1:22" ht="14.45" customHeight="1">
      <c r="A973" s="20"/>
      <c r="B973" s="59" t="s">
        <v>1020</v>
      </c>
      <c r="C973" s="20"/>
      <c r="D973" s="20"/>
      <c r="E973" s="20"/>
      <c r="F973" s="103">
        <f>INT(F971+F969+F967)</f>
        <v>0</v>
      </c>
      <c r="G973" s="20"/>
      <c r="H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2"/>
    </row>
    <row r="974" spans="1:22" ht="14.45" customHeight="1">
      <c r="A974" s="11"/>
      <c r="B974" s="11"/>
      <c r="C974" s="11"/>
      <c r="D974" s="11"/>
      <c r="E974" s="11"/>
      <c r="F974" s="96"/>
      <c r="G974" s="11"/>
      <c r="U974" s="15"/>
    </row>
    <row r="975" spans="1:22" ht="14.45" customHeight="1">
      <c r="A975" s="55" t="s">
        <v>1169</v>
      </c>
      <c r="B975" s="55" t="s">
        <v>1146</v>
      </c>
      <c r="C975" s="11"/>
      <c r="D975" s="55" t="s">
        <v>636</v>
      </c>
      <c r="E975" s="101"/>
      <c r="F975" s="97">
        <f>ROUNDDOWN(E975*C975,1)</f>
        <v>0</v>
      </c>
      <c r="G975" s="11"/>
      <c r="U975" s="15"/>
    </row>
    <row r="976" spans="1:22" ht="14.45" customHeight="1">
      <c r="A976" s="11"/>
      <c r="B976" s="11"/>
      <c r="C976" s="11"/>
      <c r="D976" s="11"/>
      <c r="E976" s="11"/>
      <c r="F976" s="11"/>
      <c r="G976" s="11"/>
      <c r="U976" s="15"/>
    </row>
    <row r="977" spans="1:21" ht="14.45" customHeight="1">
      <c r="A977" s="11"/>
      <c r="B977" s="55" t="s">
        <v>975</v>
      </c>
      <c r="C977" s="11"/>
      <c r="D977" s="11"/>
      <c r="E977" s="101">
        <f>F975</f>
        <v>0</v>
      </c>
      <c r="F977" s="97">
        <f>ROUNDDOWN(E977*C977,1)</f>
        <v>0</v>
      </c>
      <c r="G977" s="11"/>
      <c r="U977" s="15"/>
    </row>
    <row r="978" spans="1:21" ht="14.45" customHeight="1">
      <c r="A978" s="11"/>
      <c r="B978" s="11"/>
      <c r="C978" s="11"/>
      <c r="D978" s="11"/>
      <c r="E978" s="11"/>
      <c r="F978" s="96"/>
      <c r="G978" s="11"/>
      <c r="U978" s="15"/>
    </row>
    <row r="979" spans="1:21" ht="14.45" customHeight="1">
      <c r="A979" s="11"/>
      <c r="B979" s="55"/>
      <c r="C979" s="11"/>
      <c r="D979" s="55"/>
      <c r="E979" s="98"/>
      <c r="F979" s="101"/>
      <c r="G979" s="11"/>
      <c r="U979" s="15"/>
    </row>
    <row r="980" spans="1:21" ht="14.45" customHeight="1">
      <c r="A980" s="11"/>
      <c r="B980" s="11"/>
      <c r="C980" s="11"/>
      <c r="D980" s="11"/>
      <c r="E980" s="11"/>
      <c r="F980" s="96"/>
      <c r="G980" s="11"/>
      <c r="U980" s="15"/>
    </row>
    <row r="981" spans="1:21" ht="14.45" customHeight="1">
      <c r="A981" s="20"/>
      <c r="B981" s="59" t="s">
        <v>1020</v>
      </c>
      <c r="C981" s="20"/>
      <c r="D981" s="20"/>
      <c r="E981" s="20"/>
      <c r="F981" s="103">
        <f>INT(F979+F977+F975)</f>
        <v>0</v>
      </c>
      <c r="G981" s="20"/>
      <c r="H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2"/>
    </row>
    <row r="982" spans="1:21" ht="14.45" customHeight="1">
      <c r="A982" s="11"/>
      <c r="B982" s="11"/>
      <c r="C982" s="11"/>
      <c r="D982" s="11"/>
      <c r="E982" s="11"/>
      <c r="F982" s="96"/>
      <c r="G982" s="11"/>
      <c r="U982" s="15"/>
    </row>
    <row r="983" spans="1:21" ht="14.45" customHeight="1">
      <c r="A983" s="55" t="s">
        <v>1170</v>
      </c>
      <c r="B983" s="55" t="s">
        <v>965</v>
      </c>
      <c r="C983" s="11"/>
      <c r="D983" s="11"/>
      <c r="E983" s="11"/>
      <c r="F983" s="105">
        <f>INT(H983*M983*O983)</f>
        <v>280</v>
      </c>
      <c r="G983" s="11"/>
      <c r="H983" s="1017">
        <f>중기가격!E77</f>
        <v>891000</v>
      </c>
      <c r="I983" s="1017"/>
      <c r="J983" s="1017"/>
      <c r="K983" s="1017"/>
      <c r="L983" s="28" t="s">
        <v>921</v>
      </c>
      <c r="M983" s="106">
        <v>3144</v>
      </c>
      <c r="N983" s="10" t="s">
        <v>921</v>
      </c>
      <c r="O983" s="1017">
        <v>9.9999999999999995E-8</v>
      </c>
      <c r="P983" s="1017"/>
      <c r="Q983" s="1017"/>
      <c r="R983" s="1017"/>
      <c r="U983" s="15"/>
    </row>
    <row r="984" spans="1:21" ht="14.45" customHeight="1">
      <c r="A984" s="11"/>
      <c r="B984" s="11"/>
      <c r="C984" s="11"/>
      <c r="D984" s="11"/>
      <c r="E984" s="11"/>
      <c r="F984" s="96"/>
      <c r="G984" s="11"/>
      <c r="U984" s="15"/>
    </row>
    <row r="985" spans="1:21" ht="14.45" customHeight="1">
      <c r="A985" s="11"/>
      <c r="B985" s="11"/>
      <c r="C985" s="11"/>
      <c r="D985" s="11"/>
      <c r="E985" s="11"/>
      <c r="F985" s="96"/>
      <c r="G985" s="11"/>
      <c r="U985" s="15"/>
    </row>
    <row r="986" spans="1:21" ht="14.45" customHeight="1">
      <c r="A986" s="11"/>
      <c r="B986" s="11"/>
      <c r="C986" s="11"/>
      <c r="D986" s="11"/>
      <c r="E986" s="11"/>
      <c r="F986" s="96"/>
      <c r="G986" s="11"/>
      <c r="U986" s="15"/>
    </row>
    <row r="987" spans="1:21" ht="14.45" customHeight="1">
      <c r="A987" s="11"/>
      <c r="B987" s="11"/>
      <c r="C987" s="11"/>
      <c r="D987" s="11"/>
      <c r="E987" s="11"/>
      <c r="F987" s="96"/>
      <c r="G987" s="11"/>
      <c r="U987" s="15"/>
    </row>
    <row r="988" spans="1:21" ht="14.45" customHeight="1">
      <c r="A988" s="11"/>
      <c r="B988" s="11"/>
      <c r="C988" s="11"/>
      <c r="D988" s="11"/>
      <c r="E988" s="11"/>
      <c r="F988" s="96"/>
      <c r="G988" s="11"/>
      <c r="U988" s="15"/>
    </row>
    <row r="989" spans="1:21" ht="14.45" customHeight="1">
      <c r="A989" s="11"/>
      <c r="B989" s="11"/>
      <c r="C989" s="11"/>
      <c r="D989" s="11"/>
      <c r="E989" s="11"/>
      <c r="F989" s="96"/>
      <c r="G989" s="11"/>
      <c r="U989" s="15"/>
    </row>
    <row r="990" spans="1:21" ht="14.45" customHeight="1">
      <c r="A990" s="11"/>
      <c r="B990" s="11"/>
      <c r="C990" s="11"/>
      <c r="D990" s="11"/>
      <c r="E990" s="11"/>
      <c r="F990" s="96"/>
      <c r="G990" s="11"/>
      <c r="U990" s="15"/>
    </row>
    <row r="991" spans="1:21" ht="14.45" customHeight="1">
      <c r="A991" s="11"/>
      <c r="B991" s="11"/>
      <c r="C991" s="11"/>
      <c r="D991" s="11"/>
      <c r="E991" s="11"/>
      <c r="F991" s="96"/>
      <c r="G991" s="11"/>
      <c r="U991" s="15"/>
    </row>
    <row r="992" spans="1:21" ht="14.45" customHeight="1">
      <c r="A992" s="20"/>
      <c r="B992" s="20"/>
      <c r="C992" s="20"/>
      <c r="D992" s="20"/>
      <c r="E992" s="20"/>
      <c r="F992" s="102"/>
      <c r="G992" s="20"/>
      <c r="H992" s="21"/>
      <c r="I992" s="21"/>
      <c r="J992" s="21"/>
      <c r="K992" s="21"/>
      <c r="L992" s="21"/>
      <c r="M992" s="21"/>
      <c r="N992" s="21"/>
      <c r="O992" s="21"/>
      <c r="P992" s="21"/>
      <c r="Q992" s="21"/>
      <c r="R992" s="21"/>
      <c r="S992" s="21"/>
      <c r="T992" s="21"/>
      <c r="U992" s="22"/>
    </row>
    <row r="993" spans="1:22" ht="14.45" customHeight="1">
      <c r="A993" s="11"/>
      <c r="B993" s="11"/>
      <c r="C993" s="11"/>
      <c r="D993" s="11"/>
      <c r="E993" s="11"/>
      <c r="F993" s="96"/>
      <c r="G993" s="11"/>
      <c r="U993" s="15"/>
    </row>
    <row r="994" spans="1:22" ht="14.45" customHeight="1">
      <c r="A994" s="59" t="s">
        <v>1156</v>
      </c>
      <c r="B994" s="20"/>
      <c r="C994" s="20"/>
      <c r="D994" s="20"/>
      <c r="E994" s="20"/>
      <c r="F994" s="103">
        <f>F973+F981+F983</f>
        <v>280</v>
      </c>
      <c r="G994" s="20"/>
      <c r="H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2"/>
    </row>
    <row r="995" spans="1:22" ht="14.45" customHeight="1">
      <c r="A995" s="1123" t="s">
        <v>2153</v>
      </c>
      <c r="B995" s="1123"/>
      <c r="C995" s="1123"/>
      <c r="D995" s="6"/>
      <c r="E995" s="6"/>
      <c r="F995" s="80"/>
    </row>
    <row r="996" spans="1:22" ht="14.45" customHeight="1">
      <c r="A996" s="21"/>
      <c r="B996" s="21"/>
      <c r="C996" s="21"/>
      <c r="D996" s="21"/>
      <c r="E996" s="21"/>
      <c r="F996" s="107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</row>
    <row r="997" spans="1:22" ht="25.5" customHeight="1">
      <c r="A997" s="2" t="s">
        <v>1009</v>
      </c>
      <c r="B997" s="2" t="s">
        <v>1010</v>
      </c>
      <c r="C997" s="2" t="s">
        <v>1217</v>
      </c>
      <c r="D997" s="2" t="s">
        <v>1011</v>
      </c>
      <c r="E997" s="2" t="s">
        <v>207</v>
      </c>
      <c r="F997" s="2" t="s">
        <v>54</v>
      </c>
      <c r="G997" s="1119" t="s">
        <v>1766</v>
      </c>
      <c r="H997" s="1120"/>
      <c r="I997" s="1120"/>
      <c r="J997" s="1120"/>
      <c r="K997" s="1120"/>
      <c r="L997" s="1120"/>
      <c r="M997" s="1120"/>
      <c r="N997" s="1120"/>
      <c r="O997" s="1120"/>
      <c r="P997" s="1120"/>
      <c r="Q997" s="1120"/>
      <c r="R997" s="1120"/>
      <c r="S997" s="1120"/>
      <c r="T997" s="1120"/>
      <c r="U997" s="1121"/>
      <c r="V997" s="11"/>
    </row>
    <row r="998" spans="1:22" ht="14.45" customHeight="1">
      <c r="A998" s="11"/>
      <c r="B998" s="11"/>
      <c r="C998" s="11"/>
      <c r="D998" s="11"/>
      <c r="E998" s="11"/>
      <c r="F998" s="96"/>
      <c r="G998" s="11"/>
      <c r="U998" s="9"/>
    </row>
    <row r="999" spans="1:22" ht="14.45" customHeight="1">
      <c r="A999" s="55" t="s">
        <v>1168</v>
      </c>
      <c r="B999" s="55" t="s">
        <v>1261</v>
      </c>
      <c r="C999" s="11"/>
      <c r="D999" s="55" t="s">
        <v>1328</v>
      </c>
      <c r="E999" s="11"/>
      <c r="F999" s="97">
        <f>U999</f>
        <v>0</v>
      </c>
      <c r="G999" s="101"/>
      <c r="H999" s="14"/>
      <c r="J999" s="28"/>
      <c r="L999" s="14"/>
      <c r="N999" s="28"/>
      <c r="O999" s="18"/>
      <c r="P999" s="14"/>
      <c r="R999" s="28"/>
      <c r="T999" s="28"/>
      <c r="U999" s="99"/>
    </row>
    <row r="1000" spans="1:22" ht="14.45" customHeight="1">
      <c r="A1000" s="11"/>
      <c r="B1000" s="11"/>
      <c r="C1000" s="11"/>
      <c r="D1000" s="11"/>
      <c r="E1000" s="11"/>
      <c r="F1000" s="96"/>
      <c r="G1000" s="96"/>
      <c r="O1000" s="18"/>
      <c r="U1000" s="100"/>
    </row>
    <row r="1001" spans="1:22" ht="14.45" customHeight="1">
      <c r="A1001" s="11"/>
      <c r="B1001" s="55" t="s">
        <v>1262</v>
      </c>
      <c r="C1001" s="11"/>
      <c r="D1001" s="55" t="s">
        <v>1023</v>
      </c>
      <c r="E1001" s="101"/>
      <c r="F1001" s="97">
        <f>TRUNC((C1001*E1001),1)</f>
        <v>0</v>
      </c>
      <c r="G1001" s="101"/>
      <c r="H1001" s="14"/>
      <c r="J1001" s="28"/>
      <c r="L1001" s="14"/>
      <c r="N1001" s="28"/>
      <c r="O1001" s="18"/>
      <c r="P1001" s="14"/>
      <c r="R1001" s="28"/>
      <c r="T1001" s="28"/>
      <c r="U1001" s="99"/>
    </row>
    <row r="1002" spans="1:22" ht="14.45" customHeight="1">
      <c r="A1002" s="11"/>
      <c r="B1002" s="11"/>
      <c r="C1002" s="11"/>
      <c r="D1002" s="11"/>
      <c r="E1002" s="96"/>
      <c r="F1002" s="96"/>
      <c r="G1002" s="96"/>
      <c r="O1002" s="18"/>
      <c r="U1002" s="100"/>
    </row>
    <row r="1003" spans="1:22" ht="14.45" customHeight="1">
      <c r="A1003" s="11"/>
      <c r="B1003" s="55" t="s">
        <v>1263</v>
      </c>
      <c r="C1003" s="11"/>
      <c r="D1003" s="55" t="s">
        <v>1023</v>
      </c>
      <c r="E1003" s="101"/>
      <c r="F1003" s="97">
        <f>TRUNC((C1003*E1003),1)</f>
        <v>0</v>
      </c>
      <c r="G1003" s="101"/>
      <c r="H1003" s="14"/>
      <c r="J1003" s="28"/>
      <c r="L1003" s="14"/>
      <c r="N1003" s="28"/>
      <c r="O1003" s="18"/>
      <c r="P1003" s="14"/>
      <c r="R1003" s="28"/>
      <c r="T1003" s="28"/>
      <c r="U1003" s="99"/>
    </row>
    <row r="1004" spans="1:22" ht="14.45" customHeight="1">
      <c r="A1004" s="11"/>
      <c r="B1004" s="11"/>
      <c r="C1004" s="11"/>
      <c r="D1004" s="11"/>
      <c r="E1004" s="11"/>
      <c r="F1004" s="96"/>
      <c r="G1004" s="11"/>
      <c r="U1004" s="15"/>
    </row>
    <row r="1005" spans="1:22" ht="14.45" customHeight="1">
      <c r="A1005" s="20"/>
      <c r="B1005" s="59" t="s">
        <v>1020</v>
      </c>
      <c r="C1005" s="20"/>
      <c r="D1005" s="20"/>
      <c r="E1005" s="20"/>
      <c r="F1005" s="103">
        <f>INT(F1003+F1001+F999)</f>
        <v>0</v>
      </c>
      <c r="G1005" s="20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  <c r="R1005" s="21"/>
      <c r="S1005" s="21"/>
      <c r="T1005" s="21"/>
      <c r="U1005" s="22"/>
    </row>
    <row r="1006" spans="1:22" ht="14.45" customHeight="1">
      <c r="A1006" s="11"/>
      <c r="B1006" s="11"/>
      <c r="C1006" s="11"/>
      <c r="D1006" s="11"/>
      <c r="E1006" s="11"/>
      <c r="F1006" s="96"/>
      <c r="G1006" s="11"/>
      <c r="U1006" s="15"/>
    </row>
    <row r="1007" spans="1:22" ht="14.45" customHeight="1">
      <c r="A1007" s="55" t="s">
        <v>1169</v>
      </c>
      <c r="B1007" s="55" t="s">
        <v>1146</v>
      </c>
      <c r="C1007" s="11">
        <v>25</v>
      </c>
      <c r="D1007" s="55" t="s">
        <v>636</v>
      </c>
      <c r="E1007" s="101">
        <f>E943</f>
        <v>1528.38</v>
      </c>
      <c r="F1007" s="97">
        <f>ROUNDDOWN(E1007*C1007,1)</f>
        <v>38209.5</v>
      </c>
      <c r="G1007" s="11"/>
      <c r="U1007" s="15"/>
    </row>
    <row r="1008" spans="1:22" ht="14.45" customHeight="1">
      <c r="A1008" s="11"/>
      <c r="B1008" s="11"/>
      <c r="C1008" s="11" t="s">
        <v>2154</v>
      </c>
      <c r="D1008" s="11"/>
      <c r="E1008" s="11"/>
      <c r="F1008" s="11"/>
      <c r="G1008" s="11"/>
      <c r="U1008" s="15"/>
    </row>
    <row r="1009" spans="1:21" ht="14.45" customHeight="1">
      <c r="A1009" s="11"/>
      <c r="B1009" s="55" t="s">
        <v>217</v>
      </c>
      <c r="C1009" s="11">
        <v>0.18</v>
      </c>
      <c r="D1009" s="11"/>
      <c r="E1009" s="101">
        <f>F1007</f>
        <v>38209.5</v>
      </c>
      <c r="F1009" s="97">
        <f>ROUNDDOWN(E1009*C1009,1)</f>
        <v>6877.7</v>
      </c>
      <c r="G1009" s="11"/>
      <c r="U1009" s="15"/>
    </row>
    <row r="1010" spans="1:21" ht="14.45" customHeight="1">
      <c r="A1010" s="11"/>
      <c r="B1010" s="11"/>
      <c r="C1010" s="11"/>
      <c r="D1010" s="11"/>
      <c r="E1010" s="11"/>
      <c r="F1010" s="96"/>
      <c r="G1010" s="11"/>
      <c r="U1010" s="15"/>
    </row>
    <row r="1011" spans="1:21" ht="14.45" customHeight="1">
      <c r="A1011" s="11"/>
      <c r="B1011" s="55"/>
      <c r="C1011" s="11"/>
      <c r="D1011" s="55"/>
      <c r="E1011" s="98"/>
      <c r="F1011" s="101"/>
      <c r="G1011" s="11"/>
      <c r="U1011" s="15"/>
    </row>
    <row r="1012" spans="1:21" ht="14.45" customHeight="1">
      <c r="A1012" s="11"/>
      <c r="B1012" s="11"/>
      <c r="C1012" s="11"/>
      <c r="D1012" s="11"/>
      <c r="E1012" s="11"/>
      <c r="F1012" s="96"/>
      <c r="G1012" s="11"/>
      <c r="U1012" s="15"/>
    </row>
    <row r="1013" spans="1:21" ht="14.45" customHeight="1">
      <c r="A1013" s="20"/>
      <c r="B1013" s="59" t="s">
        <v>1020</v>
      </c>
      <c r="C1013" s="20"/>
      <c r="D1013" s="20"/>
      <c r="E1013" s="20"/>
      <c r="F1013" s="103">
        <f>INT(F1011+F1009+F1007)</f>
        <v>45087</v>
      </c>
      <c r="G1013" s="20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  <c r="R1013" s="21"/>
      <c r="S1013" s="21"/>
      <c r="T1013" s="21"/>
      <c r="U1013" s="22"/>
    </row>
    <row r="1014" spans="1:21" ht="14.45" customHeight="1">
      <c r="A1014" s="11"/>
      <c r="B1014" s="11"/>
      <c r="C1014" s="11"/>
      <c r="D1014" s="11"/>
      <c r="E1014" s="11"/>
      <c r="F1014" s="96"/>
      <c r="G1014" s="11"/>
      <c r="U1014" s="15"/>
    </row>
    <row r="1015" spans="1:21" ht="14.45" customHeight="1">
      <c r="A1015" s="55" t="s">
        <v>1170</v>
      </c>
      <c r="B1015" s="55" t="s">
        <v>965</v>
      </c>
      <c r="C1015" s="11"/>
      <c r="D1015" s="11"/>
      <c r="E1015" s="11"/>
      <c r="F1015" s="105">
        <f>INT(H1015*M1015*O1015)</f>
        <v>75419</v>
      </c>
      <c r="G1015" s="11"/>
      <c r="H1015" s="1124">
        <f>중기가격!E78</f>
        <v>195085000</v>
      </c>
      <c r="I1015" s="1125"/>
      <c r="J1015" s="1125"/>
      <c r="K1015" s="1125"/>
      <c r="L1015" s="28" t="s">
        <v>165</v>
      </c>
      <c r="M1015" s="106">
        <v>3866</v>
      </c>
      <c r="N1015" s="10" t="s">
        <v>165</v>
      </c>
      <c r="O1015" s="1017">
        <v>9.9999999999999995E-8</v>
      </c>
      <c r="P1015" s="1017"/>
      <c r="Q1015" s="1017"/>
      <c r="R1015" s="1017"/>
      <c r="U1015" s="15"/>
    </row>
    <row r="1016" spans="1:21" ht="14.45" customHeight="1">
      <c r="A1016" s="11"/>
      <c r="B1016" s="11"/>
      <c r="C1016" s="11"/>
      <c r="D1016" s="11"/>
      <c r="E1016" s="11"/>
      <c r="F1016" s="96"/>
      <c r="G1016" s="11"/>
      <c r="U1016" s="15"/>
    </row>
    <row r="1017" spans="1:21" ht="14.45" customHeight="1">
      <c r="A1017" s="11"/>
      <c r="B1017" s="11"/>
      <c r="C1017" s="11"/>
      <c r="D1017" s="11"/>
      <c r="E1017" s="11"/>
      <c r="F1017" s="96"/>
      <c r="G1017" s="11"/>
      <c r="U1017" s="15"/>
    </row>
    <row r="1018" spans="1:21" ht="14.45" customHeight="1">
      <c r="A1018" s="11"/>
      <c r="B1018" s="11"/>
      <c r="C1018" s="11"/>
      <c r="D1018" s="11"/>
      <c r="E1018" s="11"/>
      <c r="F1018" s="96"/>
      <c r="G1018" s="11"/>
      <c r="U1018" s="15"/>
    </row>
    <row r="1019" spans="1:21" ht="14.45" customHeight="1">
      <c r="A1019" s="11"/>
      <c r="B1019" s="11"/>
      <c r="C1019" s="11"/>
      <c r="D1019" s="11"/>
      <c r="E1019" s="11"/>
      <c r="F1019" s="96"/>
      <c r="G1019" s="11"/>
      <c r="U1019" s="15"/>
    </row>
    <row r="1020" spans="1:21" ht="14.45" customHeight="1">
      <c r="A1020" s="11"/>
      <c r="B1020" s="11"/>
      <c r="C1020" s="11"/>
      <c r="D1020" s="11"/>
      <c r="E1020" s="11"/>
      <c r="F1020" s="96"/>
      <c r="G1020" s="11"/>
      <c r="U1020" s="15"/>
    </row>
    <row r="1021" spans="1:21" ht="14.45" customHeight="1">
      <c r="A1021" s="11"/>
      <c r="B1021" s="11"/>
      <c r="C1021" s="11"/>
      <c r="D1021" s="11"/>
      <c r="E1021" s="11"/>
      <c r="F1021" s="96"/>
      <c r="G1021" s="11"/>
      <c r="U1021" s="15"/>
    </row>
    <row r="1022" spans="1:21" ht="14.45" customHeight="1">
      <c r="A1022" s="11"/>
      <c r="B1022" s="11"/>
      <c r="C1022" s="11"/>
      <c r="D1022" s="11"/>
      <c r="E1022" s="11"/>
      <c r="F1022" s="96"/>
      <c r="G1022" s="11"/>
      <c r="U1022" s="15"/>
    </row>
    <row r="1023" spans="1:21" ht="14.45" customHeight="1">
      <c r="A1023" s="11"/>
      <c r="B1023" s="11"/>
      <c r="C1023" s="11"/>
      <c r="D1023" s="11"/>
      <c r="E1023" s="11"/>
      <c r="F1023" s="96"/>
      <c r="G1023" s="11"/>
      <c r="U1023" s="15"/>
    </row>
    <row r="1024" spans="1:21" ht="14.45" customHeight="1">
      <c r="A1024" s="20"/>
      <c r="B1024" s="20"/>
      <c r="C1024" s="20"/>
      <c r="D1024" s="20"/>
      <c r="E1024" s="20"/>
      <c r="F1024" s="102"/>
      <c r="G1024" s="20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  <c r="R1024" s="21"/>
      <c r="S1024" s="21"/>
      <c r="T1024" s="21"/>
      <c r="U1024" s="22"/>
    </row>
    <row r="1025" spans="1:22" ht="14.45" customHeight="1">
      <c r="A1025" s="11"/>
      <c r="B1025" s="11"/>
      <c r="C1025" s="11"/>
      <c r="D1025" s="11"/>
      <c r="E1025" s="11"/>
      <c r="F1025" s="96"/>
      <c r="G1025" s="11"/>
      <c r="U1025" s="15"/>
    </row>
    <row r="1026" spans="1:22" ht="14.45" customHeight="1">
      <c r="A1026" s="59" t="s">
        <v>1156</v>
      </c>
      <c r="B1026" s="20"/>
      <c r="C1026" s="20"/>
      <c r="D1026" s="20"/>
      <c r="E1026" s="20"/>
      <c r="F1026" s="103">
        <f>F1005+F1013+F1015</f>
        <v>120506</v>
      </c>
      <c r="G1026" s="20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  <c r="R1026" s="21"/>
      <c r="S1026" s="21"/>
      <c r="T1026" s="21"/>
      <c r="U1026" s="22"/>
    </row>
    <row r="1027" spans="1:22" ht="14.45" customHeight="1">
      <c r="A1027" s="1123" t="s">
        <v>2155</v>
      </c>
      <c r="B1027" s="1123"/>
      <c r="C1027" s="1123"/>
      <c r="D1027" s="6"/>
      <c r="E1027" s="6"/>
      <c r="F1027" s="80"/>
    </row>
    <row r="1028" spans="1:22" ht="14.45" customHeight="1">
      <c r="A1028" s="21"/>
      <c r="B1028" s="21"/>
      <c r="C1028" s="21"/>
      <c r="D1028" s="21"/>
      <c r="E1028" s="21"/>
      <c r="F1028" s="107"/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  <c r="Q1028" s="21"/>
      <c r="R1028" s="21"/>
      <c r="S1028" s="21"/>
      <c r="T1028" s="21"/>
      <c r="U1028" s="21"/>
    </row>
    <row r="1029" spans="1:22" ht="25.5" customHeight="1">
      <c r="A1029" s="2" t="s">
        <v>1009</v>
      </c>
      <c r="B1029" s="2" t="s">
        <v>1010</v>
      </c>
      <c r="C1029" s="2" t="s">
        <v>1217</v>
      </c>
      <c r="D1029" s="2" t="s">
        <v>1011</v>
      </c>
      <c r="E1029" s="2" t="s">
        <v>207</v>
      </c>
      <c r="F1029" s="2" t="s">
        <v>54</v>
      </c>
      <c r="G1029" s="1119" t="s">
        <v>1766</v>
      </c>
      <c r="H1029" s="1120"/>
      <c r="I1029" s="1120"/>
      <c r="J1029" s="1120"/>
      <c r="K1029" s="1120"/>
      <c r="L1029" s="1120"/>
      <c r="M1029" s="1120"/>
      <c r="N1029" s="1120"/>
      <c r="O1029" s="1120"/>
      <c r="P1029" s="1120"/>
      <c r="Q1029" s="1120"/>
      <c r="R1029" s="1120"/>
      <c r="S1029" s="1120"/>
      <c r="T1029" s="1120"/>
      <c r="U1029" s="1121"/>
      <c r="V1029" s="11"/>
    </row>
    <row r="1030" spans="1:22" ht="14.45" customHeight="1">
      <c r="A1030" s="11"/>
      <c r="B1030" s="11"/>
      <c r="C1030" s="11"/>
      <c r="D1030" s="11"/>
      <c r="E1030" s="11"/>
      <c r="F1030" s="96"/>
      <c r="G1030" s="11"/>
      <c r="U1030" s="9"/>
    </row>
    <row r="1031" spans="1:22" ht="14.45" customHeight="1">
      <c r="A1031" s="55" t="s">
        <v>1168</v>
      </c>
      <c r="B1031" s="55" t="s">
        <v>1261</v>
      </c>
      <c r="C1031" s="11"/>
      <c r="D1031" s="55" t="s">
        <v>1328</v>
      </c>
      <c r="E1031" s="11"/>
      <c r="F1031" s="97">
        <f>U1031</f>
        <v>0</v>
      </c>
      <c r="G1031" s="101"/>
      <c r="H1031" s="14"/>
      <c r="J1031" s="28"/>
      <c r="L1031" s="14"/>
      <c r="N1031" s="28"/>
      <c r="O1031" s="18"/>
      <c r="P1031" s="14"/>
      <c r="R1031" s="28"/>
      <c r="T1031" s="28"/>
      <c r="U1031" s="99"/>
    </row>
    <row r="1032" spans="1:22" ht="14.45" customHeight="1">
      <c r="A1032" s="11"/>
      <c r="B1032" s="11"/>
      <c r="C1032" s="11"/>
      <c r="D1032" s="11"/>
      <c r="E1032" s="11"/>
      <c r="F1032" s="96"/>
      <c r="G1032" s="96"/>
      <c r="O1032" s="18"/>
      <c r="U1032" s="100"/>
    </row>
    <row r="1033" spans="1:22" ht="14.45" customHeight="1">
      <c r="A1033" s="11"/>
      <c r="B1033" s="55" t="s">
        <v>1262</v>
      </c>
      <c r="C1033" s="11"/>
      <c r="D1033" s="55" t="s">
        <v>1023</v>
      </c>
      <c r="E1033" s="101"/>
      <c r="F1033" s="97">
        <f>TRUNC((C1033*E1033),1)</f>
        <v>0</v>
      </c>
      <c r="G1033" s="101"/>
      <c r="H1033" s="14"/>
      <c r="J1033" s="28"/>
      <c r="L1033" s="14"/>
      <c r="N1033" s="28"/>
      <c r="O1033" s="18"/>
      <c r="P1033" s="14"/>
      <c r="R1033" s="28"/>
      <c r="T1033" s="28"/>
      <c r="U1033" s="99"/>
    </row>
    <row r="1034" spans="1:22" ht="14.45" customHeight="1">
      <c r="A1034" s="11"/>
      <c r="B1034" s="11"/>
      <c r="C1034" s="11"/>
      <c r="D1034" s="11"/>
      <c r="E1034" s="96"/>
      <c r="F1034" s="96"/>
      <c r="G1034" s="96"/>
      <c r="O1034" s="18"/>
      <c r="U1034" s="100"/>
    </row>
    <row r="1035" spans="1:22" ht="14.45" customHeight="1">
      <c r="A1035" s="11"/>
      <c r="B1035" s="55" t="s">
        <v>1263</v>
      </c>
      <c r="C1035" s="11"/>
      <c r="D1035" s="55" t="s">
        <v>1023</v>
      </c>
      <c r="E1035" s="101"/>
      <c r="F1035" s="97">
        <f>TRUNC((C1035*E1035),1)</f>
        <v>0</v>
      </c>
      <c r="G1035" s="101"/>
      <c r="H1035" s="14"/>
      <c r="J1035" s="28"/>
      <c r="L1035" s="14"/>
      <c r="N1035" s="28"/>
      <c r="O1035" s="18"/>
      <c r="P1035" s="14"/>
      <c r="R1035" s="28"/>
      <c r="T1035" s="28"/>
      <c r="U1035" s="99"/>
    </row>
    <row r="1036" spans="1:22" ht="14.45" customHeight="1">
      <c r="A1036" s="11"/>
      <c r="B1036" s="11"/>
      <c r="C1036" s="11"/>
      <c r="D1036" s="11"/>
      <c r="E1036" s="11"/>
      <c r="F1036" s="96"/>
      <c r="G1036" s="11"/>
      <c r="U1036" s="15"/>
    </row>
    <row r="1037" spans="1:22" ht="14.45" customHeight="1">
      <c r="A1037" s="20"/>
      <c r="B1037" s="59" t="s">
        <v>1020</v>
      </c>
      <c r="C1037" s="20"/>
      <c r="D1037" s="20"/>
      <c r="E1037" s="20"/>
      <c r="F1037" s="103">
        <f>INT(F1035+F1033+F1031)</f>
        <v>0</v>
      </c>
      <c r="G1037" s="20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  <c r="R1037" s="21"/>
      <c r="S1037" s="21"/>
      <c r="T1037" s="21"/>
      <c r="U1037" s="22"/>
    </row>
    <row r="1038" spans="1:22" ht="14.45" customHeight="1">
      <c r="A1038" s="11"/>
      <c r="B1038" s="11"/>
      <c r="C1038" s="11"/>
      <c r="D1038" s="11"/>
      <c r="E1038" s="11"/>
      <c r="F1038" s="96"/>
      <c r="G1038" s="11"/>
      <c r="U1038" s="15"/>
    </row>
    <row r="1039" spans="1:22" ht="14.45" customHeight="1">
      <c r="A1039" s="55" t="s">
        <v>1169</v>
      </c>
      <c r="B1039" s="55" t="s">
        <v>1146</v>
      </c>
      <c r="C1039" s="11"/>
      <c r="D1039" s="55" t="s">
        <v>636</v>
      </c>
      <c r="E1039" s="101"/>
      <c r="F1039" s="97">
        <f>ROUNDDOWN(E1039*C1039,1)</f>
        <v>0</v>
      </c>
      <c r="G1039" s="11"/>
      <c r="U1039" s="15"/>
    </row>
    <row r="1040" spans="1:22" ht="14.45" customHeight="1">
      <c r="A1040" s="11"/>
      <c r="B1040" s="11"/>
      <c r="C1040" s="11"/>
      <c r="D1040" s="11"/>
      <c r="E1040" s="11"/>
      <c r="F1040" s="11"/>
      <c r="G1040" s="11"/>
      <c r="U1040" s="15"/>
    </row>
    <row r="1041" spans="1:21" ht="14.45" customHeight="1">
      <c r="A1041" s="11"/>
      <c r="B1041" s="55" t="s">
        <v>975</v>
      </c>
      <c r="C1041" s="11"/>
      <c r="D1041" s="11"/>
      <c r="E1041" s="101">
        <f>F1039</f>
        <v>0</v>
      </c>
      <c r="F1041" s="97">
        <f>ROUNDDOWN(E1041*C1041,1)</f>
        <v>0</v>
      </c>
      <c r="G1041" s="11"/>
      <c r="U1041" s="15"/>
    </row>
    <row r="1042" spans="1:21" ht="14.45" customHeight="1">
      <c r="A1042" s="11"/>
      <c r="B1042" s="11"/>
      <c r="C1042" s="11"/>
      <c r="D1042" s="11"/>
      <c r="E1042" s="11"/>
      <c r="F1042" s="96"/>
      <c r="G1042" s="11"/>
      <c r="U1042" s="15"/>
    </row>
    <row r="1043" spans="1:21" ht="14.45" customHeight="1">
      <c r="A1043" s="11"/>
      <c r="B1043" s="55"/>
      <c r="C1043" s="11"/>
      <c r="D1043" s="55"/>
      <c r="E1043" s="98"/>
      <c r="F1043" s="101"/>
      <c r="G1043" s="11"/>
      <c r="U1043" s="15"/>
    </row>
    <row r="1044" spans="1:21" ht="14.45" customHeight="1">
      <c r="A1044" s="11"/>
      <c r="B1044" s="11"/>
      <c r="C1044" s="11"/>
      <c r="D1044" s="11"/>
      <c r="E1044" s="11"/>
      <c r="F1044" s="96"/>
      <c r="G1044" s="11"/>
      <c r="U1044" s="15"/>
    </row>
    <row r="1045" spans="1:21" ht="14.45" customHeight="1">
      <c r="A1045" s="20"/>
      <c r="B1045" s="59" t="s">
        <v>1020</v>
      </c>
      <c r="C1045" s="20"/>
      <c r="D1045" s="20"/>
      <c r="E1045" s="20"/>
      <c r="F1045" s="103">
        <f>INT(F1043+F1041+F1039)</f>
        <v>0</v>
      </c>
      <c r="G1045" s="20"/>
      <c r="H1045" s="21"/>
      <c r="I1045" s="21"/>
      <c r="J1045" s="21"/>
      <c r="K1045" s="21"/>
      <c r="L1045" s="21"/>
      <c r="M1045" s="21"/>
      <c r="N1045" s="21"/>
      <c r="O1045" s="21"/>
      <c r="P1045" s="21"/>
      <c r="Q1045" s="21"/>
      <c r="R1045" s="21"/>
      <c r="S1045" s="21"/>
      <c r="T1045" s="21"/>
      <c r="U1045" s="22"/>
    </row>
    <row r="1046" spans="1:21" ht="14.45" customHeight="1">
      <c r="A1046" s="11"/>
      <c r="B1046" s="11"/>
      <c r="C1046" s="11"/>
      <c r="D1046" s="11"/>
      <c r="E1046" s="11"/>
      <c r="F1046" s="96"/>
      <c r="G1046" s="11"/>
      <c r="U1046" s="15"/>
    </row>
    <row r="1047" spans="1:21" ht="14.45" customHeight="1">
      <c r="A1047" s="55" t="s">
        <v>1170</v>
      </c>
      <c r="B1047" s="55" t="s">
        <v>965</v>
      </c>
      <c r="C1047" s="11"/>
      <c r="D1047" s="11"/>
      <c r="E1047" s="11"/>
      <c r="F1047" s="105">
        <f>INT(H1047*M1047*O1047)</f>
        <v>1865</v>
      </c>
      <c r="G1047" s="11"/>
      <c r="H1047" s="1122">
        <f>중기가격!E79</f>
        <v>6005000</v>
      </c>
      <c r="I1047" s="1017"/>
      <c r="J1047" s="1017"/>
      <c r="K1047" s="1017"/>
      <c r="L1047" s="28" t="s">
        <v>165</v>
      </c>
      <c r="M1047" s="106">
        <v>3106</v>
      </c>
      <c r="N1047" s="10" t="s">
        <v>165</v>
      </c>
      <c r="O1047" s="1017">
        <v>9.9999999999999995E-8</v>
      </c>
      <c r="P1047" s="1017"/>
      <c r="Q1047" s="1017"/>
      <c r="R1047" s="1017"/>
      <c r="U1047" s="15"/>
    </row>
    <row r="1048" spans="1:21" ht="14.45" customHeight="1">
      <c r="A1048" s="11"/>
      <c r="B1048" s="11"/>
      <c r="C1048" s="11"/>
      <c r="D1048" s="11"/>
      <c r="E1048" s="11"/>
      <c r="F1048" s="96"/>
      <c r="G1048" s="11"/>
      <c r="U1048" s="15"/>
    </row>
    <row r="1049" spans="1:21" ht="14.45" customHeight="1">
      <c r="A1049" s="11"/>
      <c r="B1049" s="11"/>
      <c r="C1049" s="11"/>
      <c r="D1049" s="11"/>
      <c r="E1049" s="11"/>
      <c r="F1049" s="96"/>
      <c r="G1049" s="11"/>
      <c r="U1049" s="15"/>
    </row>
    <row r="1050" spans="1:21" ht="14.45" customHeight="1">
      <c r="A1050" s="11"/>
      <c r="B1050" s="11"/>
      <c r="C1050" s="11"/>
      <c r="D1050" s="11"/>
      <c r="E1050" s="11"/>
      <c r="F1050" s="96"/>
      <c r="G1050" s="11"/>
      <c r="U1050" s="15"/>
    </row>
    <row r="1051" spans="1:21" ht="14.45" customHeight="1">
      <c r="A1051" s="11"/>
      <c r="B1051" s="11"/>
      <c r="C1051" s="11"/>
      <c r="D1051" s="11"/>
      <c r="E1051" s="11"/>
      <c r="F1051" s="96"/>
      <c r="G1051" s="11"/>
      <c r="U1051" s="15"/>
    </row>
    <row r="1052" spans="1:21" ht="14.45" customHeight="1">
      <c r="A1052" s="11"/>
      <c r="B1052" s="11"/>
      <c r="C1052" s="11"/>
      <c r="D1052" s="11"/>
      <c r="E1052" s="11"/>
      <c r="F1052" s="96"/>
      <c r="G1052" s="11"/>
      <c r="U1052" s="15"/>
    </row>
    <row r="1053" spans="1:21" ht="14.45" customHeight="1">
      <c r="A1053" s="11"/>
      <c r="B1053" s="11"/>
      <c r="C1053" s="11"/>
      <c r="D1053" s="11"/>
      <c r="E1053" s="11"/>
      <c r="F1053" s="96"/>
      <c r="G1053" s="11"/>
      <c r="U1053" s="15"/>
    </row>
    <row r="1054" spans="1:21" ht="14.45" customHeight="1">
      <c r="A1054" s="11"/>
      <c r="B1054" s="11"/>
      <c r="C1054" s="11"/>
      <c r="D1054" s="11"/>
      <c r="E1054" s="11"/>
      <c r="F1054" s="96"/>
      <c r="G1054" s="11"/>
      <c r="U1054" s="15"/>
    </row>
    <row r="1055" spans="1:21" ht="14.45" customHeight="1">
      <c r="A1055" s="11"/>
      <c r="B1055" s="11"/>
      <c r="C1055" s="11"/>
      <c r="D1055" s="11"/>
      <c r="E1055" s="11"/>
      <c r="F1055" s="96"/>
      <c r="G1055" s="11"/>
      <c r="U1055" s="15"/>
    </row>
    <row r="1056" spans="1:21" ht="14.45" customHeight="1">
      <c r="A1056" s="20"/>
      <c r="B1056" s="20"/>
      <c r="C1056" s="20"/>
      <c r="D1056" s="20"/>
      <c r="E1056" s="20"/>
      <c r="F1056" s="102"/>
      <c r="G1056" s="20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  <c r="R1056" s="21"/>
      <c r="S1056" s="21"/>
      <c r="T1056" s="21"/>
      <c r="U1056" s="22"/>
    </row>
    <row r="1057" spans="1:22" ht="14.45" customHeight="1">
      <c r="A1057" s="11"/>
      <c r="B1057" s="11"/>
      <c r="C1057" s="11"/>
      <c r="D1057" s="11"/>
      <c r="E1057" s="11"/>
      <c r="F1057" s="96"/>
      <c r="G1057" s="11"/>
      <c r="U1057" s="15"/>
    </row>
    <row r="1058" spans="1:22" ht="14.45" customHeight="1">
      <c r="A1058" s="59" t="s">
        <v>1156</v>
      </c>
      <c r="B1058" s="20"/>
      <c r="C1058" s="20"/>
      <c r="D1058" s="20"/>
      <c r="E1058" s="20"/>
      <c r="F1058" s="103">
        <f>F1037+F1045+F1047</f>
        <v>1865</v>
      </c>
      <c r="G1058" s="20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  <c r="R1058" s="21"/>
      <c r="S1058" s="21"/>
      <c r="T1058" s="21"/>
      <c r="U1058" s="22"/>
    </row>
    <row r="1059" spans="1:22" ht="14.45" customHeight="1">
      <c r="A1059" s="1123" t="s">
        <v>2159</v>
      </c>
      <c r="B1059" s="1123"/>
      <c r="C1059" s="1123"/>
      <c r="D1059" s="6"/>
      <c r="E1059" s="6"/>
      <c r="F1059" s="80"/>
    </row>
    <row r="1060" spans="1:22" ht="14.45" customHeight="1">
      <c r="A1060" s="21"/>
      <c r="B1060" s="21"/>
      <c r="C1060" s="21"/>
      <c r="D1060" s="21"/>
      <c r="E1060" s="21"/>
      <c r="F1060" s="107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  <c r="R1060" s="21"/>
      <c r="S1060" s="21"/>
      <c r="T1060" s="21"/>
      <c r="U1060" s="21"/>
    </row>
    <row r="1061" spans="1:22" ht="25.5" customHeight="1">
      <c r="A1061" s="2" t="s">
        <v>1009</v>
      </c>
      <c r="B1061" s="2" t="s">
        <v>1010</v>
      </c>
      <c r="C1061" s="2" t="s">
        <v>1217</v>
      </c>
      <c r="D1061" s="2" t="s">
        <v>1011</v>
      </c>
      <c r="E1061" s="2" t="s">
        <v>207</v>
      </c>
      <c r="F1061" s="2" t="s">
        <v>54</v>
      </c>
      <c r="G1061" s="1119" t="s">
        <v>1766</v>
      </c>
      <c r="H1061" s="1120"/>
      <c r="I1061" s="1120"/>
      <c r="J1061" s="1120"/>
      <c r="K1061" s="1120"/>
      <c r="L1061" s="1120"/>
      <c r="M1061" s="1120"/>
      <c r="N1061" s="1120"/>
      <c r="O1061" s="1120"/>
      <c r="P1061" s="1120"/>
      <c r="Q1061" s="1120"/>
      <c r="R1061" s="1120"/>
      <c r="S1061" s="1120"/>
      <c r="T1061" s="1120"/>
      <c r="U1061" s="1121"/>
      <c r="V1061" s="11"/>
    </row>
    <row r="1062" spans="1:22" ht="14.45" customHeight="1">
      <c r="A1062" s="11"/>
      <c r="B1062" s="11"/>
      <c r="C1062" s="11"/>
      <c r="D1062" s="11"/>
      <c r="E1062" s="11"/>
      <c r="F1062" s="96"/>
      <c r="G1062" s="11"/>
      <c r="U1062" s="9"/>
    </row>
    <row r="1063" spans="1:22" ht="14.45" customHeight="1">
      <c r="A1063" s="55" t="s">
        <v>1168</v>
      </c>
      <c r="B1063" s="55" t="s">
        <v>1261</v>
      </c>
      <c r="C1063" s="11"/>
      <c r="D1063" s="55" t="s">
        <v>1328</v>
      </c>
      <c r="E1063" s="11"/>
      <c r="F1063" s="97">
        <f>U1063</f>
        <v>0</v>
      </c>
      <c r="G1063" s="101"/>
      <c r="H1063" s="14"/>
      <c r="J1063" s="28"/>
      <c r="L1063" s="14"/>
      <c r="N1063" s="28"/>
      <c r="O1063" s="18"/>
      <c r="P1063" s="14"/>
      <c r="R1063" s="28"/>
      <c r="T1063" s="28"/>
      <c r="U1063" s="99"/>
    </row>
    <row r="1064" spans="1:22" ht="14.45" customHeight="1">
      <c r="A1064" s="11"/>
      <c r="B1064" s="11"/>
      <c r="C1064" s="11"/>
      <c r="D1064" s="11"/>
      <c r="E1064" s="11"/>
      <c r="F1064" s="96"/>
      <c r="G1064" s="96"/>
      <c r="O1064" s="18"/>
      <c r="U1064" s="100"/>
    </row>
    <row r="1065" spans="1:22" ht="14.45" customHeight="1">
      <c r="A1065" s="11"/>
      <c r="B1065" s="55" t="s">
        <v>1262</v>
      </c>
      <c r="C1065" s="11"/>
      <c r="D1065" s="55" t="s">
        <v>1023</v>
      </c>
      <c r="E1065" s="101"/>
      <c r="F1065" s="97">
        <f>TRUNC((C1065*E1065),1)</f>
        <v>0</v>
      </c>
      <c r="G1065" s="101"/>
      <c r="H1065" s="14"/>
      <c r="J1065" s="28"/>
      <c r="L1065" s="14"/>
      <c r="N1065" s="28"/>
      <c r="O1065" s="18"/>
      <c r="P1065" s="14"/>
      <c r="R1065" s="28"/>
      <c r="T1065" s="28"/>
      <c r="U1065" s="99"/>
    </row>
    <row r="1066" spans="1:22" ht="14.45" customHeight="1">
      <c r="A1066" s="11"/>
      <c r="B1066" s="11"/>
      <c r="C1066" s="11"/>
      <c r="D1066" s="11"/>
      <c r="E1066" s="96"/>
      <c r="F1066" s="96"/>
      <c r="G1066" s="96"/>
      <c r="O1066" s="18"/>
      <c r="U1066" s="100"/>
    </row>
    <row r="1067" spans="1:22" ht="14.45" customHeight="1">
      <c r="A1067" s="11"/>
      <c r="B1067" s="55" t="s">
        <v>1263</v>
      </c>
      <c r="C1067" s="11"/>
      <c r="D1067" s="55" t="s">
        <v>1023</v>
      </c>
      <c r="E1067" s="101"/>
      <c r="F1067" s="97">
        <f>TRUNC((C1067*E1067),1)</f>
        <v>0</v>
      </c>
      <c r="G1067" s="101"/>
      <c r="H1067" s="14"/>
      <c r="J1067" s="28"/>
      <c r="L1067" s="14"/>
      <c r="N1067" s="28"/>
      <c r="O1067" s="18"/>
      <c r="P1067" s="14"/>
      <c r="R1067" s="28"/>
      <c r="T1067" s="28"/>
      <c r="U1067" s="99"/>
    </row>
    <row r="1068" spans="1:22" ht="14.45" customHeight="1">
      <c r="A1068" s="11"/>
      <c r="B1068" s="11"/>
      <c r="C1068" s="11"/>
      <c r="D1068" s="11"/>
      <c r="E1068" s="11"/>
      <c r="F1068" s="96"/>
      <c r="G1068" s="11"/>
      <c r="U1068" s="15"/>
    </row>
    <row r="1069" spans="1:22" ht="14.45" customHeight="1">
      <c r="A1069" s="20"/>
      <c r="B1069" s="59" t="s">
        <v>1020</v>
      </c>
      <c r="C1069" s="20"/>
      <c r="D1069" s="20"/>
      <c r="E1069" s="20"/>
      <c r="F1069" s="103">
        <f>INT(F1067+F1065+F1063)</f>
        <v>0</v>
      </c>
      <c r="G1069" s="20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  <c r="R1069" s="21"/>
      <c r="S1069" s="21"/>
      <c r="T1069" s="21"/>
      <c r="U1069" s="22"/>
    </row>
    <row r="1070" spans="1:22" ht="14.45" customHeight="1">
      <c r="A1070" s="11"/>
      <c r="B1070" s="11"/>
      <c r="C1070" s="11"/>
      <c r="D1070" s="11"/>
      <c r="E1070" s="11"/>
      <c r="F1070" s="96"/>
      <c r="G1070" s="11"/>
      <c r="U1070" s="15"/>
    </row>
    <row r="1071" spans="1:22" ht="14.45" customHeight="1">
      <c r="A1071" s="55" t="s">
        <v>1169</v>
      </c>
      <c r="B1071" s="55" t="s">
        <v>1146</v>
      </c>
      <c r="C1071" s="11"/>
      <c r="D1071" s="55" t="s">
        <v>636</v>
      </c>
      <c r="E1071" s="101"/>
      <c r="F1071" s="97">
        <f>ROUNDDOWN(E1071*C1071,1)</f>
        <v>0</v>
      </c>
      <c r="G1071" s="11"/>
      <c r="U1071" s="15"/>
    </row>
    <row r="1072" spans="1:22" ht="14.45" customHeight="1">
      <c r="A1072" s="11"/>
      <c r="B1072" s="11"/>
      <c r="C1072" s="11"/>
      <c r="D1072" s="11"/>
      <c r="E1072" s="11"/>
      <c r="F1072" s="11"/>
      <c r="G1072" s="11"/>
      <c r="U1072" s="15"/>
    </row>
    <row r="1073" spans="1:21" ht="14.45" customHeight="1">
      <c r="A1073" s="11"/>
      <c r="B1073" s="55" t="s">
        <v>975</v>
      </c>
      <c r="C1073" s="11"/>
      <c r="D1073" s="11"/>
      <c r="E1073" s="101">
        <f>F1071</f>
        <v>0</v>
      </c>
      <c r="F1073" s="97">
        <f>ROUNDDOWN(E1073*C1073,1)</f>
        <v>0</v>
      </c>
      <c r="G1073" s="11"/>
      <c r="U1073" s="15"/>
    </row>
    <row r="1074" spans="1:21" ht="14.45" customHeight="1">
      <c r="A1074" s="11"/>
      <c r="B1074" s="11"/>
      <c r="C1074" s="11"/>
      <c r="D1074" s="11"/>
      <c r="E1074" s="11"/>
      <c r="F1074" s="96"/>
      <c r="G1074" s="11"/>
      <c r="U1074" s="15"/>
    </row>
    <row r="1075" spans="1:21" ht="14.45" customHeight="1">
      <c r="A1075" s="11"/>
      <c r="B1075" s="55"/>
      <c r="C1075" s="11"/>
      <c r="D1075" s="55"/>
      <c r="E1075" s="98"/>
      <c r="F1075" s="101"/>
      <c r="G1075" s="11"/>
      <c r="U1075" s="15"/>
    </row>
    <row r="1076" spans="1:21" ht="14.45" customHeight="1">
      <c r="A1076" s="11"/>
      <c r="B1076" s="11"/>
      <c r="C1076" s="11"/>
      <c r="D1076" s="11"/>
      <c r="E1076" s="11"/>
      <c r="F1076" s="96"/>
      <c r="G1076" s="11"/>
      <c r="U1076" s="15"/>
    </row>
    <row r="1077" spans="1:21" ht="14.45" customHeight="1">
      <c r="A1077" s="20"/>
      <c r="B1077" s="59" t="s">
        <v>1020</v>
      </c>
      <c r="C1077" s="20"/>
      <c r="D1077" s="20"/>
      <c r="E1077" s="20"/>
      <c r="F1077" s="103">
        <f>INT(F1075+F1073+F1071)</f>
        <v>0</v>
      </c>
      <c r="G1077" s="20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  <c r="R1077" s="21"/>
      <c r="S1077" s="21"/>
      <c r="T1077" s="21"/>
      <c r="U1077" s="22"/>
    </row>
    <row r="1078" spans="1:21" ht="14.45" customHeight="1">
      <c r="A1078" s="11"/>
      <c r="B1078" s="11"/>
      <c r="C1078" s="11"/>
      <c r="D1078" s="11"/>
      <c r="E1078" s="11"/>
      <c r="F1078" s="96"/>
      <c r="G1078" s="11"/>
      <c r="U1078" s="15"/>
    </row>
    <row r="1079" spans="1:21" ht="14.45" customHeight="1">
      <c r="A1079" s="55" t="s">
        <v>1170</v>
      </c>
      <c r="B1079" s="55" t="s">
        <v>965</v>
      </c>
      <c r="C1079" s="11"/>
      <c r="D1079" s="11"/>
      <c r="E1079" s="11"/>
      <c r="F1079" s="105">
        <f>INT(H1079*M1079*O1079)</f>
        <v>278</v>
      </c>
      <c r="G1079" s="11"/>
      <c r="H1079" s="1122">
        <v>754000</v>
      </c>
      <c r="I1079" s="1017"/>
      <c r="J1079" s="1017"/>
      <c r="K1079" s="1017"/>
      <c r="L1079" s="28" t="s">
        <v>165</v>
      </c>
      <c r="M1079" s="106">
        <v>3700</v>
      </c>
      <c r="N1079" s="10" t="s">
        <v>165</v>
      </c>
      <c r="O1079" s="1017">
        <v>9.9999999999999995E-8</v>
      </c>
      <c r="P1079" s="1017"/>
      <c r="Q1079" s="1017"/>
      <c r="R1079" s="1017"/>
      <c r="U1079" s="15"/>
    </row>
    <row r="1080" spans="1:21" ht="14.45" customHeight="1">
      <c r="A1080" s="11"/>
      <c r="B1080" s="11"/>
      <c r="C1080" s="11"/>
      <c r="D1080" s="11"/>
      <c r="E1080" s="11"/>
      <c r="F1080" s="96"/>
      <c r="G1080" s="11"/>
      <c r="U1080" s="15"/>
    </row>
    <row r="1081" spans="1:21" ht="14.45" customHeight="1">
      <c r="A1081" s="11"/>
      <c r="B1081" s="11"/>
      <c r="C1081" s="11"/>
      <c r="D1081" s="11"/>
      <c r="E1081" s="11"/>
      <c r="F1081" s="96"/>
      <c r="G1081" s="11"/>
      <c r="U1081" s="15"/>
    </row>
    <row r="1082" spans="1:21" ht="14.45" customHeight="1">
      <c r="A1082" s="11"/>
      <c r="B1082" s="11"/>
      <c r="C1082" s="11"/>
      <c r="D1082" s="11"/>
      <c r="E1082" s="11"/>
      <c r="F1082" s="96"/>
      <c r="G1082" s="11"/>
      <c r="U1082" s="15"/>
    </row>
    <row r="1083" spans="1:21" ht="14.45" customHeight="1">
      <c r="A1083" s="11"/>
      <c r="B1083" s="11"/>
      <c r="C1083" s="11"/>
      <c r="D1083" s="11"/>
      <c r="E1083" s="11"/>
      <c r="F1083" s="96"/>
      <c r="G1083" s="11"/>
      <c r="U1083" s="15"/>
    </row>
    <row r="1084" spans="1:21" ht="14.45" customHeight="1">
      <c r="A1084" s="11"/>
      <c r="B1084" s="11"/>
      <c r="C1084" s="11"/>
      <c r="D1084" s="11"/>
      <c r="E1084" s="11"/>
      <c r="F1084" s="96"/>
      <c r="G1084" s="11"/>
      <c r="U1084" s="15"/>
    </row>
    <row r="1085" spans="1:21" ht="14.45" customHeight="1">
      <c r="A1085" s="11"/>
      <c r="B1085" s="11"/>
      <c r="C1085" s="11"/>
      <c r="D1085" s="11"/>
      <c r="E1085" s="11"/>
      <c r="F1085" s="96"/>
      <c r="G1085" s="11"/>
      <c r="U1085" s="15"/>
    </row>
    <row r="1086" spans="1:21" ht="14.45" customHeight="1">
      <c r="A1086" s="11"/>
      <c r="B1086" s="11"/>
      <c r="C1086" s="11"/>
      <c r="D1086" s="11"/>
      <c r="E1086" s="11"/>
      <c r="F1086" s="96"/>
      <c r="G1086" s="11"/>
      <c r="U1086" s="15"/>
    </row>
    <row r="1087" spans="1:21" ht="14.45" customHeight="1">
      <c r="A1087" s="11"/>
      <c r="B1087" s="11"/>
      <c r="C1087" s="11"/>
      <c r="D1087" s="11"/>
      <c r="E1087" s="11"/>
      <c r="F1087" s="96"/>
      <c r="G1087" s="11"/>
      <c r="U1087" s="15"/>
    </row>
    <row r="1088" spans="1:21" ht="14.45" customHeight="1">
      <c r="A1088" s="20"/>
      <c r="B1088" s="20"/>
      <c r="C1088" s="20"/>
      <c r="D1088" s="20"/>
      <c r="E1088" s="20"/>
      <c r="F1088" s="102"/>
      <c r="G1088" s="20"/>
      <c r="H1088" s="21"/>
      <c r="I1088" s="21"/>
      <c r="J1088" s="21"/>
      <c r="K1088" s="21"/>
      <c r="L1088" s="21"/>
      <c r="M1088" s="21"/>
      <c r="N1088" s="21"/>
      <c r="O1088" s="21"/>
      <c r="P1088" s="21"/>
      <c r="Q1088" s="21"/>
      <c r="R1088" s="21"/>
      <c r="S1088" s="21"/>
      <c r="T1088" s="21"/>
      <c r="U1088" s="22"/>
    </row>
    <row r="1089" spans="1:22" ht="14.45" customHeight="1">
      <c r="A1089" s="11"/>
      <c r="B1089" s="11"/>
      <c r="C1089" s="11"/>
      <c r="D1089" s="11"/>
      <c r="E1089" s="11"/>
      <c r="F1089" s="96"/>
      <c r="G1089" s="11"/>
      <c r="U1089" s="15"/>
    </row>
    <row r="1090" spans="1:22" ht="14.45" customHeight="1">
      <c r="A1090" s="59" t="s">
        <v>1156</v>
      </c>
      <c r="B1090" s="20"/>
      <c r="C1090" s="20"/>
      <c r="D1090" s="20"/>
      <c r="E1090" s="20"/>
      <c r="F1090" s="103">
        <f>F1069+F1077+F1079</f>
        <v>278</v>
      </c>
      <c r="G1090" s="20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  <c r="R1090" s="21"/>
      <c r="S1090" s="21"/>
      <c r="T1090" s="21"/>
      <c r="U1090" s="22"/>
    </row>
    <row r="1091" spans="1:22" ht="14.45" customHeight="1">
      <c r="A1091" s="1123" t="s">
        <v>2165</v>
      </c>
      <c r="B1091" s="1123"/>
      <c r="C1091" s="1123"/>
      <c r="D1091" s="6"/>
      <c r="E1091" s="6"/>
      <c r="F1091" s="80"/>
    </row>
    <row r="1092" spans="1:22" ht="14.45" customHeight="1">
      <c r="A1092" s="21"/>
      <c r="B1092" s="21"/>
      <c r="C1092" s="21"/>
      <c r="D1092" s="21"/>
      <c r="E1092" s="21"/>
      <c r="F1092" s="107"/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  <c r="R1092" s="21"/>
      <c r="S1092" s="21"/>
      <c r="T1092" s="21"/>
      <c r="U1092" s="21"/>
    </row>
    <row r="1093" spans="1:22" ht="25.5" customHeight="1">
      <c r="A1093" s="2" t="s">
        <v>1009</v>
      </c>
      <c r="B1093" s="2" t="s">
        <v>1010</v>
      </c>
      <c r="C1093" s="2" t="s">
        <v>1217</v>
      </c>
      <c r="D1093" s="2" t="s">
        <v>1011</v>
      </c>
      <c r="E1093" s="2" t="s">
        <v>207</v>
      </c>
      <c r="F1093" s="2" t="s">
        <v>54</v>
      </c>
      <c r="G1093" s="1119" t="s">
        <v>1766</v>
      </c>
      <c r="H1093" s="1120"/>
      <c r="I1093" s="1120"/>
      <c r="J1093" s="1120"/>
      <c r="K1093" s="1120"/>
      <c r="L1093" s="1120"/>
      <c r="M1093" s="1120"/>
      <c r="N1093" s="1120"/>
      <c r="O1093" s="1120"/>
      <c r="P1093" s="1120"/>
      <c r="Q1093" s="1120"/>
      <c r="R1093" s="1120"/>
      <c r="S1093" s="1120"/>
      <c r="T1093" s="1120"/>
      <c r="U1093" s="1121"/>
      <c r="V1093" s="11"/>
    </row>
    <row r="1094" spans="1:22" ht="14.45" customHeight="1">
      <c r="A1094" s="11"/>
      <c r="B1094" s="11"/>
      <c r="C1094" s="11"/>
      <c r="D1094" s="11"/>
      <c r="E1094" s="11"/>
      <c r="F1094" s="96"/>
      <c r="G1094" s="11"/>
      <c r="U1094" s="9"/>
    </row>
    <row r="1095" spans="1:22" ht="14.45" customHeight="1">
      <c r="A1095" s="55" t="s">
        <v>1168</v>
      </c>
      <c r="B1095" s="55" t="s">
        <v>1261</v>
      </c>
      <c r="C1095" s="11"/>
      <c r="D1095" s="55" t="s">
        <v>1328</v>
      </c>
      <c r="E1095" s="11"/>
      <c r="F1095" s="97">
        <f>U1095</f>
        <v>0</v>
      </c>
      <c r="G1095" s="101"/>
      <c r="H1095" s="14"/>
      <c r="J1095" s="28"/>
      <c r="L1095" s="14"/>
      <c r="N1095" s="28"/>
      <c r="O1095" s="18"/>
      <c r="P1095" s="14"/>
      <c r="R1095" s="28"/>
      <c r="T1095" s="28"/>
      <c r="U1095" s="99"/>
    </row>
    <row r="1096" spans="1:22" ht="14.45" customHeight="1">
      <c r="A1096" s="11"/>
      <c r="B1096" s="11"/>
      <c r="C1096" s="11"/>
      <c r="D1096" s="11"/>
      <c r="E1096" s="11"/>
      <c r="F1096" s="96"/>
      <c r="G1096" s="96"/>
      <c r="O1096" s="18"/>
      <c r="U1096" s="100"/>
    </row>
    <row r="1097" spans="1:22" ht="14.45" customHeight="1">
      <c r="A1097" s="11"/>
      <c r="B1097" s="55" t="s">
        <v>1262</v>
      </c>
      <c r="C1097" s="11"/>
      <c r="D1097" s="55" t="s">
        <v>1023</v>
      </c>
      <c r="E1097" s="101"/>
      <c r="F1097" s="97">
        <f>TRUNC((C1097*E1097),1)</f>
        <v>0</v>
      </c>
      <c r="G1097" s="101"/>
      <c r="H1097" s="14"/>
      <c r="J1097" s="28"/>
      <c r="L1097" s="14"/>
      <c r="N1097" s="28"/>
      <c r="O1097" s="18"/>
      <c r="P1097" s="14"/>
      <c r="R1097" s="28"/>
      <c r="T1097" s="28"/>
      <c r="U1097" s="99"/>
    </row>
    <row r="1098" spans="1:22" ht="14.45" customHeight="1">
      <c r="A1098" s="11"/>
      <c r="B1098" s="11"/>
      <c r="C1098" s="11"/>
      <c r="D1098" s="11"/>
      <c r="E1098" s="96"/>
      <c r="F1098" s="96"/>
      <c r="G1098" s="96"/>
      <c r="O1098" s="18"/>
      <c r="U1098" s="100"/>
    </row>
    <row r="1099" spans="1:22" ht="14.45" customHeight="1">
      <c r="A1099" s="11"/>
      <c r="B1099" s="55" t="s">
        <v>1263</v>
      </c>
      <c r="C1099" s="11"/>
      <c r="D1099" s="55" t="s">
        <v>1023</v>
      </c>
      <c r="E1099" s="101"/>
      <c r="F1099" s="97">
        <f>TRUNC((C1099*E1099),1)</f>
        <v>0</v>
      </c>
      <c r="G1099" s="101"/>
      <c r="H1099" s="14"/>
      <c r="J1099" s="28"/>
      <c r="L1099" s="14"/>
      <c r="N1099" s="28"/>
      <c r="O1099" s="18"/>
      <c r="P1099" s="14"/>
      <c r="R1099" s="28"/>
      <c r="T1099" s="28"/>
      <c r="U1099" s="99"/>
    </row>
    <row r="1100" spans="1:22" ht="14.45" customHeight="1">
      <c r="A1100" s="11"/>
      <c r="B1100" s="11"/>
      <c r="C1100" s="11"/>
      <c r="D1100" s="11"/>
      <c r="E1100" s="11"/>
      <c r="F1100" s="96"/>
      <c r="G1100" s="11"/>
      <c r="U1100" s="15"/>
    </row>
    <row r="1101" spans="1:22" ht="14.45" customHeight="1">
      <c r="A1101" s="20"/>
      <c r="B1101" s="59" t="s">
        <v>1020</v>
      </c>
      <c r="C1101" s="20"/>
      <c r="D1101" s="20"/>
      <c r="E1101" s="20"/>
      <c r="F1101" s="103">
        <f>INT(F1099+F1097+F1095)</f>
        <v>0</v>
      </c>
      <c r="G1101" s="20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  <c r="R1101" s="21"/>
      <c r="S1101" s="21"/>
      <c r="T1101" s="21"/>
      <c r="U1101" s="22"/>
    </row>
    <row r="1102" spans="1:22" ht="14.45" customHeight="1">
      <c r="A1102" s="11"/>
      <c r="B1102" s="11"/>
      <c r="C1102" s="11"/>
      <c r="D1102" s="11"/>
      <c r="E1102" s="11"/>
      <c r="F1102" s="96"/>
      <c r="G1102" s="11"/>
      <c r="U1102" s="15"/>
    </row>
    <row r="1103" spans="1:22" ht="14.45" customHeight="1">
      <c r="A1103" s="55" t="s">
        <v>1169</v>
      </c>
      <c r="B1103" s="55" t="s">
        <v>1146</v>
      </c>
      <c r="C1103" s="11"/>
      <c r="D1103" s="55" t="s">
        <v>636</v>
      </c>
      <c r="E1103" s="101"/>
      <c r="F1103" s="97">
        <f>ROUNDDOWN(E1103*C1103,1)</f>
        <v>0</v>
      </c>
      <c r="G1103" s="11"/>
      <c r="U1103" s="15"/>
    </row>
    <row r="1104" spans="1:22" ht="14.45" customHeight="1">
      <c r="A1104" s="11"/>
      <c r="B1104" s="11"/>
      <c r="C1104" s="11"/>
      <c r="D1104" s="11"/>
      <c r="E1104" s="11"/>
      <c r="F1104" s="11"/>
      <c r="G1104" s="11"/>
      <c r="U1104" s="15"/>
    </row>
    <row r="1105" spans="1:21" ht="14.45" customHeight="1">
      <c r="A1105" s="11"/>
      <c r="B1105" s="55" t="s">
        <v>975</v>
      </c>
      <c r="C1105" s="11"/>
      <c r="D1105" s="11"/>
      <c r="E1105" s="101">
        <f>F1103</f>
        <v>0</v>
      </c>
      <c r="F1105" s="97">
        <f>ROUNDDOWN(E1105*C1105,1)</f>
        <v>0</v>
      </c>
      <c r="G1105" s="11"/>
      <c r="U1105" s="15"/>
    </row>
    <row r="1106" spans="1:21" ht="14.45" customHeight="1">
      <c r="A1106" s="11"/>
      <c r="B1106" s="11"/>
      <c r="C1106" s="11"/>
      <c r="D1106" s="11"/>
      <c r="E1106" s="11"/>
      <c r="F1106" s="96"/>
      <c r="G1106" s="11"/>
      <c r="U1106" s="15"/>
    </row>
    <row r="1107" spans="1:21" ht="14.45" customHeight="1">
      <c r="A1107" s="11"/>
      <c r="B1107" s="55"/>
      <c r="C1107" s="11"/>
      <c r="D1107" s="55"/>
      <c r="E1107" s="98"/>
      <c r="F1107" s="101"/>
      <c r="G1107" s="11"/>
      <c r="U1107" s="15"/>
    </row>
    <row r="1108" spans="1:21" ht="14.45" customHeight="1">
      <c r="A1108" s="11"/>
      <c r="B1108" s="11"/>
      <c r="C1108" s="11"/>
      <c r="D1108" s="11"/>
      <c r="E1108" s="11"/>
      <c r="F1108" s="96"/>
      <c r="G1108" s="11"/>
      <c r="U1108" s="15"/>
    </row>
    <row r="1109" spans="1:21" ht="14.45" customHeight="1">
      <c r="A1109" s="20"/>
      <c r="B1109" s="59" t="s">
        <v>1020</v>
      </c>
      <c r="C1109" s="20"/>
      <c r="D1109" s="20"/>
      <c r="E1109" s="20"/>
      <c r="F1109" s="103">
        <f>INT(F1107+F1105+F1103)</f>
        <v>0</v>
      </c>
      <c r="G1109" s="20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  <c r="R1109" s="21"/>
      <c r="S1109" s="21"/>
      <c r="T1109" s="21"/>
      <c r="U1109" s="22"/>
    </row>
    <row r="1110" spans="1:21" ht="14.45" customHeight="1">
      <c r="A1110" s="11"/>
      <c r="B1110" s="11"/>
      <c r="C1110" s="11"/>
      <c r="D1110" s="11"/>
      <c r="E1110" s="11"/>
      <c r="F1110" s="96"/>
      <c r="G1110" s="11"/>
      <c r="U1110" s="15"/>
    </row>
    <row r="1111" spans="1:21" ht="14.45" customHeight="1">
      <c r="A1111" s="55" t="s">
        <v>1170</v>
      </c>
      <c r="B1111" s="55" t="s">
        <v>965</v>
      </c>
      <c r="C1111" s="11"/>
      <c r="D1111" s="11"/>
      <c r="E1111" s="11"/>
      <c r="F1111" s="105">
        <f>INT(H1111*M1111*O1111)</f>
        <v>1387</v>
      </c>
      <c r="G1111" s="11"/>
      <c r="H1111" s="1122">
        <v>6048000</v>
      </c>
      <c r="I1111" s="1017"/>
      <c r="J1111" s="1017"/>
      <c r="K1111" s="1017"/>
      <c r="L1111" s="28" t="s">
        <v>165</v>
      </c>
      <c r="M1111" s="106">
        <v>2294</v>
      </c>
      <c r="N1111" s="10" t="s">
        <v>165</v>
      </c>
      <c r="O1111" s="1017">
        <v>9.9999999999999995E-8</v>
      </c>
      <c r="P1111" s="1017"/>
      <c r="Q1111" s="1017"/>
      <c r="R1111" s="1017"/>
      <c r="U1111" s="15"/>
    </row>
    <row r="1112" spans="1:21" ht="14.45" customHeight="1">
      <c r="A1112" s="11"/>
      <c r="B1112" s="11"/>
      <c r="C1112" s="11"/>
      <c r="D1112" s="11"/>
      <c r="E1112" s="11"/>
      <c r="F1112" s="96"/>
      <c r="G1112" s="11"/>
      <c r="U1112" s="15"/>
    </row>
    <row r="1113" spans="1:21" ht="14.45" customHeight="1">
      <c r="A1113" s="11"/>
      <c r="B1113" s="11"/>
      <c r="C1113" s="11"/>
      <c r="D1113" s="11"/>
      <c r="E1113" s="11"/>
      <c r="F1113" s="96"/>
      <c r="G1113" s="11"/>
      <c r="U1113" s="15"/>
    </row>
    <row r="1114" spans="1:21" ht="14.45" customHeight="1">
      <c r="A1114" s="11"/>
      <c r="B1114" s="11"/>
      <c r="C1114" s="11"/>
      <c r="D1114" s="11"/>
      <c r="E1114" s="11"/>
      <c r="F1114" s="96"/>
      <c r="G1114" s="11"/>
      <c r="U1114" s="15"/>
    </row>
    <row r="1115" spans="1:21" ht="14.45" customHeight="1">
      <c r="A1115" s="11"/>
      <c r="B1115" s="11"/>
      <c r="C1115" s="11"/>
      <c r="D1115" s="11"/>
      <c r="E1115" s="11"/>
      <c r="F1115" s="96"/>
      <c r="G1115" s="11"/>
      <c r="U1115" s="15"/>
    </row>
    <row r="1116" spans="1:21" ht="14.45" customHeight="1">
      <c r="A1116" s="11"/>
      <c r="B1116" s="11"/>
      <c r="C1116" s="11"/>
      <c r="D1116" s="11"/>
      <c r="E1116" s="11"/>
      <c r="F1116" s="96"/>
      <c r="G1116" s="11"/>
      <c r="U1116" s="15"/>
    </row>
    <row r="1117" spans="1:21" ht="14.45" customHeight="1">
      <c r="A1117" s="11"/>
      <c r="B1117" s="11"/>
      <c r="C1117" s="11"/>
      <c r="D1117" s="11"/>
      <c r="E1117" s="11"/>
      <c r="F1117" s="96"/>
      <c r="G1117" s="11"/>
      <c r="U1117" s="15"/>
    </row>
    <row r="1118" spans="1:21" ht="14.45" customHeight="1">
      <c r="A1118" s="11"/>
      <c r="B1118" s="11"/>
      <c r="C1118" s="11"/>
      <c r="D1118" s="11"/>
      <c r="E1118" s="11"/>
      <c r="F1118" s="96"/>
      <c r="G1118" s="11"/>
      <c r="U1118" s="15"/>
    </row>
    <row r="1119" spans="1:21" ht="14.45" customHeight="1">
      <c r="A1119" s="11"/>
      <c r="B1119" s="11"/>
      <c r="C1119" s="11"/>
      <c r="D1119" s="11"/>
      <c r="E1119" s="11"/>
      <c r="F1119" s="96"/>
      <c r="G1119" s="11"/>
      <c r="U1119" s="15"/>
    </row>
    <row r="1120" spans="1:21" ht="14.45" customHeight="1">
      <c r="A1120" s="20"/>
      <c r="B1120" s="20"/>
      <c r="C1120" s="20"/>
      <c r="D1120" s="20"/>
      <c r="E1120" s="20"/>
      <c r="F1120" s="102"/>
      <c r="G1120" s="20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  <c r="R1120" s="21"/>
      <c r="S1120" s="21"/>
      <c r="T1120" s="21"/>
      <c r="U1120" s="22"/>
    </row>
    <row r="1121" spans="1:22" ht="14.45" customHeight="1">
      <c r="A1121" s="11"/>
      <c r="B1121" s="11"/>
      <c r="C1121" s="11"/>
      <c r="D1121" s="11"/>
      <c r="E1121" s="11"/>
      <c r="F1121" s="96"/>
      <c r="G1121" s="11"/>
      <c r="U1121" s="15"/>
    </row>
    <row r="1122" spans="1:22" ht="14.45" customHeight="1">
      <c r="A1122" s="59" t="s">
        <v>1156</v>
      </c>
      <c r="B1122" s="20"/>
      <c r="C1122" s="20"/>
      <c r="D1122" s="20"/>
      <c r="E1122" s="20"/>
      <c r="F1122" s="103">
        <f>F1101+F1109+F1111</f>
        <v>1387</v>
      </c>
      <c r="G1122" s="20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  <c r="R1122" s="21"/>
      <c r="S1122" s="21"/>
      <c r="T1122" s="21"/>
      <c r="U1122" s="22"/>
    </row>
    <row r="1123" spans="1:22" ht="14.45" customHeight="1">
      <c r="A1123" s="1123" t="s">
        <v>2501</v>
      </c>
      <c r="B1123" s="1123"/>
      <c r="C1123" s="1123"/>
      <c r="D1123" s="6"/>
      <c r="E1123" s="6"/>
      <c r="F1123" s="80"/>
    </row>
    <row r="1124" spans="1:22" ht="14.45" customHeight="1">
      <c r="A1124" s="21"/>
      <c r="B1124" s="21"/>
      <c r="C1124" s="21"/>
      <c r="D1124" s="21"/>
      <c r="E1124" s="21"/>
      <c r="F1124" s="107"/>
      <c r="G1124" s="21"/>
      <c r="H1124" s="21"/>
      <c r="I1124" s="21"/>
      <c r="J1124" s="21"/>
      <c r="K1124" s="21"/>
      <c r="L1124" s="21"/>
      <c r="M1124" s="21"/>
      <c r="N1124" s="21"/>
      <c r="O1124" s="21"/>
      <c r="P1124" s="21"/>
      <c r="Q1124" s="21"/>
      <c r="R1124" s="21"/>
      <c r="S1124" s="21"/>
      <c r="T1124" s="21"/>
      <c r="U1124" s="21"/>
    </row>
    <row r="1125" spans="1:22" ht="25.5" customHeight="1">
      <c r="A1125" s="2" t="s">
        <v>1009</v>
      </c>
      <c r="B1125" s="2" t="s">
        <v>1010</v>
      </c>
      <c r="C1125" s="2" t="s">
        <v>1217</v>
      </c>
      <c r="D1125" s="2" t="s">
        <v>1011</v>
      </c>
      <c r="E1125" s="2" t="s">
        <v>207</v>
      </c>
      <c r="F1125" s="2" t="s">
        <v>54</v>
      </c>
      <c r="G1125" s="1119" t="s">
        <v>1766</v>
      </c>
      <c r="H1125" s="1120"/>
      <c r="I1125" s="1120"/>
      <c r="J1125" s="1120"/>
      <c r="K1125" s="1120"/>
      <c r="L1125" s="1120"/>
      <c r="M1125" s="1120"/>
      <c r="N1125" s="1120"/>
      <c r="O1125" s="1120"/>
      <c r="P1125" s="1120"/>
      <c r="Q1125" s="1120"/>
      <c r="R1125" s="1120"/>
      <c r="S1125" s="1120"/>
      <c r="T1125" s="1120"/>
      <c r="U1125" s="1121"/>
      <c r="V1125" s="834"/>
    </row>
    <row r="1126" spans="1:22" ht="14.45" customHeight="1">
      <c r="A1126" s="834"/>
      <c r="B1126" s="834"/>
      <c r="C1126" s="834"/>
      <c r="D1126" s="834"/>
      <c r="E1126" s="834"/>
      <c r="F1126" s="848"/>
      <c r="G1126" s="834"/>
      <c r="U1126" s="849"/>
    </row>
    <row r="1127" spans="1:22" ht="14.45" customHeight="1">
      <c r="A1127" s="850" t="s">
        <v>1168</v>
      </c>
      <c r="B1127" s="850" t="s">
        <v>1261</v>
      </c>
      <c r="C1127" s="834">
        <v>1</v>
      </c>
      <c r="D1127" s="850" t="s">
        <v>1328</v>
      </c>
      <c r="E1127" s="851">
        <f>U1127</f>
        <v>47849</v>
      </c>
      <c r="F1127" s="852">
        <f>U1127</f>
        <v>47849</v>
      </c>
      <c r="G1127" s="853">
        <f>[11]노임!F3</f>
        <v>229676</v>
      </c>
      <c r="H1127" s="28" t="s">
        <v>683</v>
      </c>
      <c r="I1127" s="28">
        <v>1</v>
      </c>
      <c r="J1127" s="28" t="s">
        <v>682</v>
      </c>
      <c r="K1127" s="28">
        <v>8</v>
      </c>
      <c r="L1127" s="28" t="s">
        <v>683</v>
      </c>
      <c r="M1127" s="28">
        <v>25</v>
      </c>
      <c r="N1127" s="28" t="s">
        <v>682</v>
      </c>
      <c r="O1127" s="28">
        <v>20</v>
      </c>
      <c r="P1127" s="28" t="s">
        <v>683</v>
      </c>
      <c r="Q1127" s="28">
        <v>16</v>
      </c>
      <c r="R1127" s="28" t="s">
        <v>682</v>
      </c>
      <c r="S1127" s="28">
        <v>12</v>
      </c>
      <c r="T1127" s="28" t="s">
        <v>1167</v>
      </c>
      <c r="U1127" s="99">
        <f>INT(G1127*I1127/K1127*M1127/O1127*Q1127/S1127)</f>
        <v>47849</v>
      </c>
    </row>
    <row r="1128" spans="1:22" ht="14.45" customHeight="1">
      <c r="A1128" s="834"/>
      <c r="B1128" s="834"/>
      <c r="C1128" s="834"/>
      <c r="D1128" s="834"/>
      <c r="E1128" s="834"/>
      <c r="F1128" s="848"/>
      <c r="G1128" s="848"/>
      <c r="H1128" s="28"/>
      <c r="I1128" s="28"/>
      <c r="J1128" s="28"/>
      <c r="K1128" s="28"/>
      <c r="L1128" s="28"/>
      <c r="M1128" s="28"/>
      <c r="N1128" s="28"/>
      <c r="O1128" s="388"/>
      <c r="P1128" s="28"/>
      <c r="Q1128" s="28"/>
      <c r="R1128" s="28"/>
      <c r="S1128" s="28"/>
      <c r="T1128" s="28"/>
      <c r="U1128" s="100"/>
    </row>
    <row r="1129" spans="1:22" ht="14.45" customHeight="1">
      <c r="A1129" s="834"/>
      <c r="B1129" s="850" t="s">
        <v>1262</v>
      </c>
      <c r="C1129" s="834"/>
      <c r="D1129" s="850" t="s">
        <v>1023</v>
      </c>
      <c r="E1129" s="834">
        <f>U1129</f>
        <v>0</v>
      </c>
      <c r="F1129" s="852">
        <f>TRUNC((C1129*E1129),1)</f>
        <v>0</v>
      </c>
      <c r="G1129" s="854">
        <f>G1097</f>
        <v>0</v>
      </c>
      <c r="H1129" s="28" t="s">
        <v>683</v>
      </c>
      <c r="I1129" s="28">
        <v>1</v>
      </c>
      <c r="J1129" s="28" t="s">
        <v>682</v>
      </c>
      <c r="K1129" s="28">
        <v>8</v>
      </c>
      <c r="L1129" s="28" t="s">
        <v>683</v>
      </c>
      <c r="M1129" s="28">
        <v>25</v>
      </c>
      <c r="N1129" s="28" t="s">
        <v>682</v>
      </c>
      <c r="O1129" s="28">
        <v>20</v>
      </c>
      <c r="P1129" s="28" t="s">
        <v>683</v>
      </c>
      <c r="Q1129" s="28">
        <v>16</v>
      </c>
      <c r="R1129" s="28" t="s">
        <v>682</v>
      </c>
      <c r="S1129" s="28">
        <v>12</v>
      </c>
      <c r="T1129" s="28" t="s">
        <v>1167</v>
      </c>
      <c r="U1129" s="99">
        <f>INT(G1129*I1129/K1129*M1129/O1129*Q1129/S1129)</f>
        <v>0</v>
      </c>
    </row>
    <row r="1130" spans="1:22" ht="14.45" customHeight="1">
      <c r="A1130" s="834"/>
      <c r="B1130" s="834"/>
      <c r="C1130" s="834"/>
      <c r="D1130" s="834"/>
      <c r="E1130" s="834"/>
      <c r="F1130" s="848"/>
      <c r="G1130" s="848"/>
      <c r="H1130" s="28"/>
      <c r="I1130" s="28"/>
      <c r="J1130" s="28"/>
      <c r="K1130" s="28"/>
      <c r="L1130" s="28"/>
      <c r="M1130" s="28"/>
      <c r="N1130" s="28"/>
      <c r="O1130" s="388"/>
      <c r="P1130" s="28"/>
      <c r="Q1130" s="28"/>
      <c r="R1130" s="28"/>
      <c r="S1130" s="28"/>
      <c r="T1130" s="28"/>
      <c r="U1130" s="100"/>
    </row>
    <row r="1131" spans="1:22" ht="14.45" customHeight="1">
      <c r="A1131" s="834"/>
      <c r="B1131" s="850" t="s">
        <v>1263</v>
      </c>
      <c r="C1131" s="834"/>
      <c r="D1131" s="850" t="s">
        <v>1023</v>
      </c>
      <c r="E1131" s="834">
        <f>U1131</f>
        <v>0</v>
      </c>
      <c r="F1131" s="852">
        <f>TRUNC((C1131*E1131),1)</f>
        <v>0</v>
      </c>
      <c r="G1131" s="854">
        <f>G1099</f>
        <v>0</v>
      </c>
      <c r="H1131" s="28" t="s">
        <v>683</v>
      </c>
      <c r="I1131" s="28">
        <v>1</v>
      </c>
      <c r="J1131" s="28" t="s">
        <v>682</v>
      </c>
      <c r="K1131" s="28">
        <v>8</v>
      </c>
      <c r="L1131" s="28" t="s">
        <v>683</v>
      </c>
      <c r="M1131" s="28">
        <v>25</v>
      </c>
      <c r="N1131" s="28" t="s">
        <v>682</v>
      </c>
      <c r="O1131" s="28">
        <v>20</v>
      </c>
      <c r="P1131" s="28" t="s">
        <v>683</v>
      </c>
      <c r="Q1131" s="28">
        <v>16</v>
      </c>
      <c r="R1131" s="28" t="s">
        <v>682</v>
      </c>
      <c r="S1131" s="28">
        <v>12</v>
      </c>
      <c r="T1131" s="28" t="s">
        <v>1167</v>
      </c>
      <c r="U1131" s="99">
        <f>INT(G1131*I1131/K1131*M1131/O1131*Q1131/S1131)</f>
        <v>0</v>
      </c>
    </row>
    <row r="1132" spans="1:22" ht="14.45" customHeight="1">
      <c r="A1132" s="834"/>
      <c r="B1132" s="834"/>
      <c r="C1132" s="834"/>
      <c r="D1132" s="834"/>
      <c r="E1132" s="834"/>
      <c r="F1132" s="848"/>
      <c r="G1132" s="848"/>
      <c r="O1132" s="16"/>
      <c r="U1132" s="15"/>
    </row>
    <row r="1133" spans="1:22" ht="14.45" customHeight="1">
      <c r="A1133" s="20"/>
      <c r="B1133" s="59" t="s">
        <v>1020</v>
      </c>
      <c r="C1133" s="20"/>
      <c r="D1133" s="20"/>
      <c r="E1133" s="20"/>
      <c r="F1133" s="103">
        <f>INT(F1131+F1129+F1127)</f>
        <v>47849</v>
      </c>
      <c r="G1133" s="102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  <c r="R1133" s="21"/>
      <c r="S1133" s="21"/>
      <c r="T1133" s="21"/>
      <c r="U1133" s="22"/>
    </row>
    <row r="1134" spans="1:22" ht="14.45" customHeight="1">
      <c r="A1134" s="834"/>
      <c r="B1134" s="834"/>
      <c r="C1134" s="834"/>
      <c r="D1134" s="834"/>
      <c r="E1134" s="834"/>
      <c r="F1134" s="848"/>
      <c r="G1134" s="834"/>
      <c r="U1134" s="15"/>
    </row>
    <row r="1135" spans="1:22" ht="14.45" customHeight="1">
      <c r="A1135" s="850" t="s">
        <v>1169</v>
      </c>
      <c r="B1135" s="850" t="s">
        <v>1146</v>
      </c>
      <c r="C1135" s="834">
        <v>6.8</v>
      </c>
      <c r="D1135" s="850" t="s">
        <v>636</v>
      </c>
      <c r="E1135" s="854">
        <f>E1007</f>
        <v>1528.38</v>
      </c>
      <c r="F1135" s="852">
        <f>ROUNDDOWN(E1135*C1135,1)</f>
        <v>10392.9</v>
      </c>
      <c r="G1135" s="834"/>
      <c r="U1135" s="15"/>
    </row>
    <row r="1136" spans="1:22" ht="14.45" customHeight="1">
      <c r="A1136" s="834"/>
      <c r="B1136" s="834"/>
      <c r="C1136" s="834"/>
      <c r="D1136" s="834"/>
      <c r="E1136" s="834"/>
      <c r="F1136" s="834"/>
      <c r="G1136" s="834"/>
      <c r="U1136" s="15"/>
    </row>
    <row r="1137" spans="1:21" ht="14.45" customHeight="1">
      <c r="A1137" s="834"/>
      <c r="B1137" s="850" t="s">
        <v>2502</v>
      </c>
      <c r="C1137" s="834">
        <v>0.28999999999999998</v>
      </c>
      <c r="D1137" s="850" t="s">
        <v>416</v>
      </c>
      <c r="E1137" s="854">
        <f>F1135</f>
        <v>10392.9</v>
      </c>
      <c r="F1137" s="852">
        <f>ROUNDDOWN(E1137*C1137,1)</f>
        <v>3013.9</v>
      </c>
      <c r="G1137" s="834"/>
      <c r="U1137" s="15"/>
    </row>
    <row r="1138" spans="1:21" ht="14.45" customHeight="1">
      <c r="A1138" s="834"/>
      <c r="B1138" s="834"/>
      <c r="C1138" s="834"/>
      <c r="D1138" s="834"/>
      <c r="E1138" s="834"/>
      <c r="F1138" s="848"/>
      <c r="G1138" s="834"/>
      <c r="U1138" s="15"/>
    </row>
    <row r="1139" spans="1:21" ht="14.45" customHeight="1">
      <c r="A1139" s="834"/>
      <c r="B1139" s="850"/>
      <c r="C1139" s="834"/>
      <c r="D1139" s="850"/>
      <c r="E1139" s="853"/>
      <c r="F1139" s="854"/>
      <c r="G1139" s="834"/>
      <c r="U1139" s="15"/>
    </row>
    <row r="1140" spans="1:21" ht="14.45" customHeight="1">
      <c r="A1140" s="834"/>
      <c r="B1140" s="834"/>
      <c r="C1140" s="834"/>
      <c r="D1140" s="834"/>
      <c r="E1140" s="834"/>
      <c r="F1140" s="848"/>
      <c r="G1140" s="834"/>
      <c r="U1140" s="15"/>
    </row>
    <row r="1141" spans="1:21" ht="14.45" customHeight="1">
      <c r="A1141" s="20"/>
      <c r="B1141" s="59" t="s">
        <v>1020</v>
      </c>
      <c r="C1141" s="20"/>
      <c r="D1141" s="20"/>
      <c r="E1141" s="20"/>
      <c r="F1141" s="103">
        <f>INT(F1139+F1137+F1135)</f>
        <v>13406</v>
      </c>
      <c r="G1141" s="20"/>
      <c r="H1141" s="21"/>
      <c r="I1141" s="21"/>
      <c r="J1141" s="21"/>
      <c r="K1141" s="21"/>
      <c r="L1141" s="21"/>
      <c r="M1141" s="21"/>
      <c r="N1141" s="21"/>
      <c r="O1141" s="21"/>
      <c r="P1141" s="21"/>
      <c r="Q1141" s="21"/>
      <c r="R1141" s="21"/>
      <c r="S1141" s="21"/>
      <c r="T1141" s="21"/>
      <c r="U1141" s="22"/>
    </row>
    <row r="1142" spans="1:21" ht="14.45" customHeight="1">
      <c r="A1142" s="834"/>
      <c r="B1142" s="834"/>
      <c r="C1142" s="834"/>
      <c r="D1142" s="834"/>
      <c r="E1142" s="834"/>
      <c r="F1142" s="848"/>
      <c r="G1142" s="834"/>
      <c r="U1142" s="15"/>
    </row>
    <row r="1143" spans="1:21" ht="14.45" customHeight="1">
      <c r="A1143" s="850" t="s">
        <v>1170</v>
      </c>
      <c r="B1143" s="850" t="s">
        <v>965</v>
      </c>
      <c r="C1143" s="834"/>
      <c r="D1143" s="834"/>
      <c r="E1143" s="834"/>
      <c r="F1143" s="855">
        <f>INT(H1143*M1143*O1143)</f>
        <v>2887</v>
      </c>
      <c r="G1143" s="834"/>
      <c r="H1143" s="1128">
        <v>14325000</v>
      </c>
      <c r="I1143" s="1129"/>
      <c r="J1143" s="1129"/>
      <c r="K1143" s="1129"/>
      <c r="L1143" s="28" t="s">
        <v>165</v>
      </c>
      <c r="M1143" s="106">
        <v>2016</v>
      </c>
      <c r="N1143" s="10" t="s">
        <v>165</v>
      </c>
      <c r="O1143" s="1017">
        <v>9.9999999999999995E-8</v>
      </c>
      <c r="P1143" s="1017"/>
      <c r="Q1143" s="1017"/>
      <c r="R1143" s="1017"/>
      <c r="U1143" s="15"/>
    </row>
    <row r="1144" spans="1:21" ht="14.45" customHeight="1">
      <c r="A1144" s="834"/>
      <c r="B1144" s="834"/>
      <c r="C1144" s="834"/>
      <c r="D1144" s="834"/>
      <c r="E1144" s="834"/>
      <c r="F1144" s="848"/>
      <c r="G1144" s="834"/>
      <c r="U1144" s="15"/>
    </row>
    <row r="1145" spans="1:21" ht="14.45" customHeight="1">
      <c r="A1145" s="834"/>
      <c r="B1145" s="834"/>
      <c r="C1145" s="834"/>
      <c r="D1145" s="834"/>
      <c r="E1145" s="834"/>
      <c r="F1145" s="848"/>
      <c r="G1145" s="834"/>
      <c r="U1145" s="15"/>
    </row>
    <row r="1146" spans="1:21" ht="14.45" customHeight="1">
      <c r="A1146" s="834"/>
      <c r="B1146" s="834"/>
      <c r="C1146" s="834"/>
      <c r="D1146" s="834"/>
      <c r="E1146" s="834"/>
      <c r="F1146" s="848"/>
      <c r="G1146" s="834"/>
      <c r="U1146" s="15"/>
    </row>
    <row r="1147" spans="1:21" ht="14.45" customHeight="1">
      <c r="A1147" s="834"/>
      <c r="B1147" s="834"/>
      <c r="C1147" s="834"/>
      <c r="D1147" s="834"/>
      <c r="E1147" s="834"/>
      <c r="F1147" s="848"/>
      <c r="G1147" s="834"/>
      <c r="U1147" s="15"/>
    </row>
    <row r="1148" spans="1:21" ht="14.45" customHeight="1">
      <c r="A1148" s="834"/>
      <c r="B1148" s="834"/>
      <c r="C1148" s="834"/>
      <c r="D1148" s="834"/>
      <c r="E1148" s="834"/>
      <c r="F1148" s="848"/>
      <c r="G1148" s="834"/>
      <c r="U1148" s="15"/>
    </row>
    <row r="1149" spans="1:21" ht="14.45" customHeight="1">
      <c r="A1149" s="834"/>
      <c r="B1149" s="834"/>
      <c r="C1149" s="834"/>
      <c r="D1149" s="834"/>
      <c r="E1149" s="834"/>
      <c r="F1149" s="848"/>
      <c r="G1149" s="834"/>
      <c r="U1149" s="15"/>
    </row>
    <row r="1150" spans="1:21" ht="14.45" customHeight="1">
      <c r="A1150" s="834"/>
      <c r="B1150" s="834"/>
      <c r="C1150" s="834"/>
      <c r="D1150" s="834"/>
      <c r="E1150" s="834"/>
      <c r="F1150" s="848"/>
      <c r="G1150" s="834"/>
      <c r="U1150" s="15"/>
    </row>
    <row r="1151" spans="1:21" ht="14.45" customHeight="1">
      <c r="A1151" s="834"/>
      <c r="B1151" s="834"/>
      <c r="C1151" s="834"/>
      <c r="D1151" s="834"/>
      <c r="E1151" s="834"/>
      <c r="F1151" s="848"/>
      <c r="G1151" s="834"/>
      <c r="U1151" s="15"/>
    </row>
    <row r="1152" spans="1:21" ht="14.45" customHeight="1">
      <c r="A1152" s="20"/>
      <c r="B1152" s="20"/>
      <c r="C1152" s="20"/>
      <c r="D1152" s="20"/>
      <c r="E1152" s="20"/>
      <c r="F1152" s="102"/>
      <c r="G1152" s="20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  <c r="R1152" s="21"/>
      <c r="S1152" s="21"/>
      <c r="T1152" s="21"/>
      <c r="U1152" s="22"/>
    </row>
    <row r="1153" spans="1:21" ht="14.45" customHeight="1">
      <c r="A1153" s="834"/>
      <c r="B1153" s="834"/>
      <c r="C1153" s="834"/>
      <c r="D1153" s="834"/>
      <c r="E1153" s="834"/>
      <c r="F1153" s="848"/>
      <c r="G1153" s="834"/>
      <c r="U1153" s="15"/>
    </row>
    <row r="1154" spans="1:21" ht="14.45" customHeight="1">
      <c r="A1154" s="59" t="s">
        <v>1156</v>
      </c>
      <c r="B1154" s="20"/>
      <c r="C1154" s="20"/>
      <c r="D1154" s="20"/>
      <c r="E1154" s="20"/>
      <c r="F1154" s="103">
        <f>F1133+F1141+F1143</f>
        <v>64142</v>
      </c>
      <c r="G1154" s="20"/>
      <c r="H1154" s="21"/>
      <c r="I1154" s="21"/>
      <c r="J1154" s="21"/>
      <c r="K1154" s="21"/>
      <c r="L1154" s="21"/>
      <c r="M1154" s="21"/>
      <c r="N1154" s="21"/>
      <c r="O1154" s="21"/>
      <c r="P1154" s="21"/>
      <c r="Q1154" s="21"/>
      <c r="R1154" s="21"/>
      <c r="S1154" s="21"/>
      <c r="T1154" s="21"/>
      <c r="U1154" s="22"/>
    </row>
  </sheetData>
  <customSheetViews>
    <customSheetView guid="{D73D5080-A04E-11D4-B8A5-00609727EAB1}" showPageBreaks="1" hiddenColumns="1" showRuler="0" topLeftCell="A2228">
      <selection activeCell="Q2257" sqref="Q2257"/>
      <pageMargins left="0.45" right="0.38" top="1" bottom="0.77" header="0.5" footer="0.5"/>
      <pageSetup paperSize="9" orientation="landscape" horizontalDpi="300" verticalDpi="300" r:id="rId1"/>
      <headerFooter alignWithMargins="0"/>
    </customSheetView>
    <customSheetView guid="{2D877E0D-A04C-11D4-947E-00001C044B2C}" hiddenColumns="1" showRuler="0" topLeftCell="A1664">
      <selection activeCell="A1684" sqref="A1684"/>
      <pageMargins left="0.45" right="0.38" top="1" bottom="0.77" header="0.5" footer="0.5"/>
      <pageSetup paperSize="9" orientation="landscape" horizontalDpi="300" verticalDpi="300" r:id="rId2"/>
      <headerFooter alignWithMargins="0"/>
    </customSheetView>
    <customSheetView guid="{6F21C780-A002-11D4-A1D9-00104BD549C6}" hiddenColumns="1" showRuler="0" topLeftCell="A1664">
      <selection activeCell="A1684" sqref="A1684"/>
      <pageMargins left="0.45" right="0.38" top="1" bottom="0.77" header="0.5" footer="0.5"/>
      <pageSetup paperSize="9" orientation="landscape" horizontalDpi="300" verticalDpi="300" r:id="rId3"/>
      <headerFooter alignWithMargins="0"/>
    </customSheetView>
  </customSheetViews>
  <mergeCells count="132">
    <mergeCell ref="A1123:C1123"/>
    <mergeCell ref="G1125:U1125"/>
    <mergeCell ref="H1143:K1143"/>
    <mergeCell ref="O1143:R1143"/>
    <mergeCell ref="A1091:C1091"/>
    <mergeCell ref="G1093:U1093"/>
    <mergeCell ref="H1111:K1111"/>
    <mergeCell ref="O1111:R1111"/>
    <mergeCell ref="G261:U261"/>
    <mergeCell ref="G293:U293"/>
    <mergeCell ref="H377:K377"/>
    <mergeCell ref="G805:U805"/>
    <mergeCell ref="G645:U645"/>
    <mergeCell ref="O377:R377"/>
    <mergeCell ref="O630:R630"/>
    <mergeCell ref="G485:U485"/>
    <mergeCell ref="O567:R567"/>
    <mergeCell ref="G613:U613"/>
    <mergeCell ref="H599:K599"/>
    <mergeCell ref="A963:C963"/>
    <mergeCell ref="G933:U933"/>
    <mergeCell ref="O918:R918"/>
    <mergeCell ref="H914:K914"/>
    <mergeCell ref="A547:C547"/>
    <mergeCell ref="A579:C579"/>
    <mergeCell ref="H793:K793"/>
    <mergeCell ref="G549:U549"/>
    <mergeCell ref="O887:R887"/>
    <mergeCell ref="G3:U3"/>
    <mergeCell ref="G35:U35"/>
    <mergeCell ref="G69:U69"/>
    <mergeCell ref="G101:U101"/>
    <mergeCell ref="G133:U133"/>
    <mergeCell ref="G165:U165"/>
    <mergeCell ref="H56:K56"/>
    <mergeCell ref="H24:K24"/>
    <mergeCell ref="O56:R56"/>
    <mergeCell ref="H89:K89"/>
    <mergeCell ref="O123:R123"/>
    <mergeCell ref="O89:R89"/>
    <mergeCell ref="H151:K151"/>
    <mergeCell ref="O151:R151"/>
    <mergeCell ref="O24:R24"/>
    <mergeCell ref="A867:C867"/>
    <mergeCell ref="H665:K665"/>
    <mergeCell ref="H567:K567"/>
    <mergeCell ref="O183:R183"/>
    <mergeCell ref="G709:U709"/>
    <mergeCell ref="H916:K916"/>
    <mergeCell ref="O916:R916"/>
    <mergeCell ref="G837:U837"/>
    <mergeCell ref="H983:K983"/>
    <mergeCell ref="O983:R983"/>
    <mergeCell ref="G901:U901"/>
    <mergeCell ref="G965:U965"/>
    <mergeCell ref="H918:K918"/>
    <mergeCell ref="H953:K953"/>
    <mergeCell ref="O953:R953"/>
    <mergeCell ref="O914:R914"/>
    <mergeCell ref="H887:K887"/>
    <mergeCell ref="H854:K854"/>
    <mergeCell ref="O854:R854"/>
    <mergeCell ref="G869:U869"/>
    <mergeCell ref="G741:U741"/>
    <mergeCell ref="G773:U773"/>
    <mergeCell ref="G581:U581"/>
    <mergeCell ref="H630:K630"/>
    <mergeCell ref="H251:K251"/>
    <mergeCell ref="O697:R697"/>
    <mergeCell ref="G197:U197"/>
    <mergeCell ref="O215:R215"/>
    <mergeCell ref="H183:K183"/>
    <mergeCell ref="A227:D227"/>
    <mergeCell ref="G229:U229"/>
    <mergeCell ref="A835:C835"/>
    <mergeCell ref="H697:K697"/>
    <mergeCell ref="A707:C707"/>
    <mergeCell ref="H761:K761"/>
    <mergeCell ref="H822:K822"/>
    <mergeCell ref="G677:U677"/>
    <mergeCell ref="A611:C611"/>
    <mergeCell ref="O409:R409"/>
    <mergeCell ref="O599:R599"/>
    <mergeCell ref="O761:Q761"/>
    <mergeCell ref="O726:R726"/>
    <mergeCell ref="O665:R665"/>
    <mergeCell ref="H667:K667"/>
    <mergeCell ref="O667:R667"/>
    <mergeCell ref="O793:R793"/>
    <mergeCell ref="H726:K726"/>
    <mergeCell ref="O822:Q822"/>
    <mergeCell ref="A515:C515"/>
    <mergeCell ref="H535:K535"/>
    <mergeCell ref="A643:D643"/>
    <mergeCell ref="G517:U517"/>
    <mergeCell ref="O535:R535"/>
    <mergeCell ref="A99:D99"/>
    <mergeCell ref="H282:K282"/>
    <mergeCell ref="H215:K215"/>
    <mergeCell ref="H505:K505"/>
    <mergeCell ref="H345:K345"/>
    <mergeCell ref="H123:K123"/>
    <mergeCell ref="G421:U421"/>
    <mergeCell ref="H409:K409"/>
    <mergeCell ref="H441:K441"/>
    <mergeCell ref="H313:K313"/>
    <mergeCell ref="O441:R441"/>
    <mergeCell ref="G453:U453"/>
    <mergeCell ref="O282:R282"/>
    <mergeCell ref="G325:U325"/>
    <mergeCell ref="H473:K473"/>
    <mergeCell ref="O473:R473"/>
    <mergeCell ref="O345:R345"/>
    <mergeCell ref="O505:R505"/>
    <mergeCell ref="H217:K217"/>
    <mergeCell ref="O217:R217"/>
    <mergeCell ref="G357:U357"/>
    <mergeCell ref="G389:U389"/>
    <mergeCell ref="O251:R251"/>
    <mergeCell ref="O313:R313"/>
    <mergeCell ref="G1061:U1061"/>
    <mergeCell ref="H1079:K1079"/>
    <mergeCell ref="O1079:R1079"/>
    <mergeCell ref="A995:C995"/>
    <mergeCell ref="G997:U997"/>
    <mergeCell ref="H1015:K1015"/>
    <mergeCell ref="O1015:R1015"/>
    <mergeCell ref="A1027:C1027"/>
    <mergeCell ref="G1029:U1029"/>
    <mergeCell ref="H1047:K1047"/>
    <mergeCell ref="O1047:R1047"/>
    <mergeCell ref="A1059:C1059"/>
  </mergeCells>
  <phoneticPr fontId="3" type="noConversion"/>
  <printOptions horizontalCentered="1"/>
  <pageMargins left="0.39370078740157483" right="0.39370078740157483" top="0.98425196850393704" bottom="0.78740157480314965" header="0.51181102362204722" footer="0.51181102362204722"/>
  <pageSetup paperSize="9" scale="92" orientation="landscape" r:id="rId4"/>
  <headerFooter alignWithMargins="0"/>
  <rowBreaks count="34" manualBreakCount="34">
    <brk id="32" max="20" man="1"/>
    <brk id="66" max="16383" man="1"/>
    <brk id="98" max="16383" man="1"/>
    <brk id="130" max="16383" man="1"/>
    <brk id="162" max="16383" man="1"/>
    <brk id="194" max="16383" man="1"/>
    <brk id="226" max="16383" man="1"/>
    <brk id="258" max="16383" man="1"/>
    <brk id="290" max="16383" man="1"/>
    <brk id="322" max="16383" man="1"/>
    <brk id="354" max="16383" man="1"/>
    <brk id="386" max="16383" man="1"/>
    <brk id="418" max="16383" man="1"/>
    <brk id="450" max="16383" man="1"/>
    <brk id="482" max="16383" man="1"/>
    <brk id="514" max="16383" man="1"/>
    <brk id="546" max="16383" man="1"/>
    <brk id="578" max="16383" man="1"/>
    <brk id="610" max="16383" man="1"/>
    <brk id="642" max="16383" man="1"/>
    <brk id="674" max="16383" man="1"/>
    <brk id="706" max="16383" man="1"/>
    <brk id="738" max="16383" man="1"/>
    <brk id="770" max="16383" man="1"/>
    <brk id="802" max="16383" man="1"/>
    <brk id="834" max="16383" man="1"/>
    <brk id="866" max="16383" man="1"/>
    <brk id="898" max="16383" man="1"/>
    <brk id="930" max="16383" man="1"/>
    <brk id="962" max="16383" man="1"/>
    <brk id="994" max="16383" man="1"/>
    <brk id="1026" max="16383" man="1"/>
    <brk id="1058" max="16383" man="1"/>
    <brk id="1090" max="16383" man="1"/>
  </rowBreaks>
  <colBreaks count="1" manualBreakCount="1">
    <brk id="21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4"/>
  <dimension ref="A1:F144"/>
  <sheetViews>
    <sheetView view="pageBreakPreview" zoomScaleNormal="100" zoomScaleSheetLayoutView="100" workbookViewId="0">
      <selection activeCell="E6" sqref="E6"/>
    </sheetView>
  </sheetViews>
  <sheetFormatPr defaultColWidth="9.44140625" defaultRowHeight="15" customHeight="1"/>
  <cols>
    <col min="1" max="1" width="24.88671875" style="441" customWidth="1"/>
    <col min="2" max="2" width="22.77734375" style="452" customWidth="1"/>
    <col min="3" max="3" width="4.109375" style="453" customWidth="1"/>
    <col min="4" max="5" width="13" style="441" customWidth="1"/>
    <col min="6" max="6" width="37.5546875" style="441" customWidth="1"/>
    <col min="7" max="16384" width="9.44140625" style="441"/>
  </cols>
  <sheetData>
    <row r="1" spans="1:6" ht="20.100000000000001" customHeight="1">
      <c r="A1" s="440" t="s">
        <v>715</v>
      </c>
      <c r="B1" s="593"/>
      <c r="C1" s="594"/>
      <c r="D1" s="595"/>
      <c r="E1" s="596" t="s">
        <v>1114</v>
      </c>
      <c r="F1" s="597">
        <v>1120.7</v>
      </c>
    </row>
    <row r="2" spans="1:6" ht="15" customHeight="1">
      <c r="A2" s="1104" t="s">
        <v>1314</v>
      </c>
      <c r="B2" s="1104" t="s">
        <v>1332</v>
      </c>
      <c r="C2" s="598"/>
      <c r="D2" s="599" t="s">
        <v>1312</v>
      </c>
      <c r="E2" s="599" t="s">
        <v>1313</v>
      </c>
      <c r="F2" s="1104" t="s">
        <v>1335</v>
      </c>
    </row>
    <row r="3" spans="1:6" ht="15" customHeight="1">
      <c r="A3" s="1104"/>
      <c r="B3" s="1104"/>
      <c r="C3" s="599" t="s">
        <v>1011</v>
      </c>
      <c r="D3" s="599" t="s">
        <v>1333</v>
      </c>
      <c r="E3" s="599" t="s">
        <v>1334</v>
      </c>
      <c r="F3" s="1104"/>
    </row>
    <row r="4" spans="1:6" ht="15" customHeight="1">
      <c r="A4" s="442" t="s">
        <v>1336</v>
      </c>
      <c r="B4" s="443" t="s">
        <v>1036</v>
      </c>
      <c r="C4" s="444" t="s">
        <v>1012</v>
      </c>
      <c r="D4" s="444"/>
      <c r="E4" s="742">
        <v>40586000</v>
      </c>
      <c r="F4" s="444"/>
    </row>
    <row r="5" spans="1:6" ht="15" customHeight="1">
      <c r="A5" s="442" t="s">
        <v>1244</v>
      </c>
      <c r="B5" s="443" t="s">
        <v>1037</v>
      </c>
      <c r="C5" s="444" t="s">
        <v>1023</v>
      </c>
      <c r="D5" s="445"/>
      <c r="E5" s="742">
        <v>175000000</v>
      </c>
      <c r="F5" s="409"/>
    </row>
    <row r="6" spans="1:6" ht="15" customHeight="1">
      <c r="A6" s="442" t="s">
        <v>1023</v>
      </c>
      <c r="B6" s="443" t="s">
        <v>1264</v>
      </c>
      <c r="C6" s="444" t="s">
        <v>1023</v>
      </c>
      <c r="D6" s="445"/>
      <c r="E6" s="742">
        <v>152011000</v>
      </c>
      <c r="F6" s="409"/>
    </row>
    <row r="7" spans="1:6" ht="15" customHeight="1">
      <c r="A7" s="442" t="s">
        <v>1023</v>
      </c>
      <c r="B7" s="443" t="s">
        <v>1115</v>
      </c>
      <c r="C7" s="444" t="s">
        <v>1023</v>
      </c>
      <c r="D7" s="445"/>
      <c r="E7" s="742">
        <v>178140000</v>
      </c>
      <c r="F7" s="409"/>
    </row>
    <row r="8" spans="1:6" ht="15" customHeight="1">
      <c r="A8" s="442" t="s">
        <v>1023</v>
      </c>
      <c r="B8" s="443" t="s">
        <v>1116</v>
      </c>
      <c r="C8" s="444" t="s">
        <v>1023</v>
      </c>
      <c r="D8" s="445" t="s">
        <v>2222</v>
      </c>
      <c r="E8" s="742">
        <v>15980000</v>
      </c>
      <c r="F8" s="409"/>
    </row>
    <row r="9" spans="1:6" ht="15" customHeight="1">
      <c r="A9" s="442" t="s">
        <v>1117</v>
      </c>
      <c r="B9" s="443" t="s">
        <v>1337</v>
      </c>
      <c r="C9" s="444" t="s">
        <v>1023</v>
      </c>
      <c r="D9" s="445"/>
      <c r="E9" s="742">
        <v>282357000</v>
      </c>
      <c r="F9" s="409"/>
    </row>
    <row r="10" spans="1:6" ht="15" customHeight="1">
      <c r="A10" s="442" t="s">
        <v>1038</v>
      </c>
      <c r="B10" s="443" t="s">
        <v>1338</v>
      </c>
      <c r="C10" s="444" t="s">
        <v>1023</v>
      </c>
      <c r="D10" s="445"/>
      <c r="E10" s="742">
        <v>76714000</v>
      </c>
      <c r="F10" s="409"/>
    </row>
    <row r="11" spans="1:6" ht="15" customHeight="1">
      <c r="A11" s="442" t="s">
        <v>1023</v>
      </c>
      <c r="B11" s="443" t="s">
        <v>1339</v>
      </c>
      <c r="C11" s="444" t="s">
        <v>1023</v>
      </c>
      <c r="D11" s="445"/>
      <c r="E11" s="742">
        <v>108021000</v>
      </c>
      <c r="F11" s="409"/>
    </row>
    <row r="12" spans="1:6" ht="15" customHeight="1">
      <c r="A12" s="442" t="s">
        <v>1023</v>
      </c>
      <c r="B12" s="443" t="s">
        <v>502</v>
      </c>
      <c r="C12" s="444" t="s">
        <v>1023</v>
      </c>
      <c r="D12" s="445"/>
      <c r="E12" s="742">
        <v>147973000</v>
      </c>
      <c r="F12" s="409"/>
    </row>
    <row r="13" spans="1:6" ht="15" customHeight="1">
      <c r="A13" s="442" t="s">
        <v>1023</v>
      </c>
      <c r="B13" s="443" t="s">
        <v>503</v>
      </c>
      <c r="C13" s="444" t="s">
        <v>1023</v>
      </c>
      <c r="D13" s="445"/>
      <c r="E13" s="858">
        <v>96703000</v>
      </c>
      <c r="F13" s="409"/>
    </row>
    <row r="14" spans="1:6" ht="15" customHeight="1">
      <c r="A14" s="442" t="s">
        <v>1023</v>
      </c>
      <c r="B14" s="443" t="s">
        <v>1039</v>
      </c>
      <c r="C14" s="444" t="s">
        <v>1023</v>
      </c>
      <c r="D14" s="445"/>
      <c r="E14" s="742">
        <v>130772000</v>
      </c>
      <c r="F14" s="409"/>
    </row>
    <row r="15" spans="1:6" ht="15" customHeight="1">
      <c r="A15" s="442" t="s">
        <v>1340</v>
      </c>
      <c r="B15" s="443" t="s">
        <v>1341</v>
      </c>
      <c r="C15" s="444" t="s">
        <v>1023</v>
      </c>
      <c r="D15" s="445"/>
      <c r="E15" s="742">
        <v>83595000</v>
      </c>
      <c r="F15" s="409"/>
    </row>
    <row r="16" spans="1:6" ht="15" customHeight="1">
      <c r="A16" s="442" t="s">
        <v>1023</v>
      </c>
      <c r="B16" s="443" t="s">
        <v>1040</v>
      </c>
      <c r="C16" s="444" t="s">
        <v>1023</v>
      </c>
      <c r="D16" s="445"/>
      <c r="E16" s="742">
        <v>116138000</v>
      </c>
      <c r="F16" s="409"/>
    </row>
    <row r="17" spans="1:6" ht="15" customHeight="1">
      <c r="A17" s="442" t="s">
        <v>1316</v>
      </c>
      <c r="B17" s="443" t="s">
        <v>1317</v>
      </c>
      <c r="C17" s="444" t="s">
        <v>1023</v>
      </c>
      <c r="D17" s="445"/>
      <c r="E17" s="742">
        <v>15827000</v>
      </c>
      <c r="F17" s="409"/>
    </row>
    <row r="18" spans="1:6" ht="15" customHeight="1">
      <c r="A18" s="442" t="s">
        <v>1318</v>
      </c>
      <c r="B18" s="443" t="s">
        <v>1319</v>
      </c>
      <c r="C18" s="444" t="s">
        <v>1023</v>
      </c>
      <c r="D18" s="445"/>
      <c r="E18" s="742">
        <v>48855000</v>
      </c>
      <c r="F18" s="409"/>
    </row>
    <row r="19" spans="1:6" ht="15" customHeight="1">
      <c r="A19" s="442" t="s">
        <v>1023</v>
      </c>
      <c r="B19" s="443" t="s">
        <v>504</v>
      </c>
      <c r="C19" s="444" t="s">
        <v>1023</v>
      </c>
      <c r="D19" s="445"/>
      <c r="E19" s="742">
        <v>83860000</v>
      </c>
      <c r="F19" s="409"/>
    </row>
    <row r="20" spans="1:6" ht="15" customHeight="1">
      <c r="A20" s="442" t="s">
        <v>1023</v>
      </c>
      <c r="B20" s="443" t="s">
        <v>2003</v>
      </c>
      <c r="C20" s="444" t="s">
        <v>1023</v>
      </c>
      <c r="D20" s="445"/>
      <c r="E20" s="742">
        <v>136759000</v>
      </c>
      <c r="F20" s="409"/>
    </row>
    <row r="21" spans="1:6" ht="15" customHeight="1">
      <c r="A21" s="442" t="s">
        <v>505</v>
      </c>
      <c r="B21" s="443" t="s">
        <v>506</v>
      </c>
      <c r="C21" s="444" t="s">
        <v>1023</v>
      </c>
      <c r="D21" s="445"/>
      <c r="E21" s="742">
        <v>61567000</v>
      </c>
      <c r="F21" s="409"/>
    </row>
    <row r="22" spans="1:6" ht="15" customHeight="1">
      <c r="A22" s="442" t="s">
        <v>1023</v>
      </c>
      <c r="B22" s="443" t="s">
        <v>1077</v>
      </c>
      <c r="C22" s="444" t="s">
        <v>1023</v>
      </c>
      <c r="D22" s="445"/>
      <c r="E22" s="742">
        <v>82960000</v>
      </c>
      <c r="F22" s="409"/>
    </row>
    <row r="23" spans="1:6" ht="15" customHeight="1">
      <c r="A23" s="442" t="s">
        <v>1023</v>
      </c>
      <c r="B23" s="443" t="s">
        <v>1078</v>
      </c>
      <c r="C23" s="444" t="s">
        <v>1023</v>
      </c>
      <c r="D23" s="442"/>
      <c r="E23" s="742">
        <v>153227000</v>
      </c>
      <c r="F23" s="409"/>
    </row>
    <row r="24" spans="1:6" ht="15" customHeight="1">
      <c r="A24" s="442" t="s">
        <v>507</v>
      </c>
      <c r="B24" s="443" t="s">
        <v>508</v>
      </c>
      <c r="C24" s="444" t="s">
        <v>1023</v>
      </c>
      <c r="D24" s="445"/>
      <c r="E24" s="742">
        <v>72383000</v>
      </c>
      <c r="F24" s="409"/>
    </row>
    <row r="25" spans="1:6" ht="15" customHeight="1">
      <c r="A25" s="442" t="s">
        <v>1023</v>
      </c>
      <c r="B25" s="443" t="s">
        <v>509</v>
      </c>
      <c r="C25" s="444" t="s">
        <v>1023</v>
      </c>
      <c r="D25" s="445"/>
      <c r="E25" s="742">
        <v>152238000</v>
      </c>
      <c r="F25" s="409"/>
    </row>
    <row r="26" spans="1:6" ht="15" customHeight="1">
      <c r="A26" s="442" t="s">
        <v>1744</v>
      </c>
      <c r="B26" s="443" t="s">
        <v>1745</v>
      </c>
      <c r="C26" s="444" t="s">
        <v>1023</v>
      </c>
      <c r="D26" s="445"/>
      <c r="E26" s="742">
        <v>80209000</v>
      </c>
      <c r="F26" s="409"/>
    </row>
    <row r="27" spans="1:6" ht="15" customHeight="1">
      <c r="A27" s="442" t="s">
        <v>1023</v>
      </c>
      <c r="B27" s="443" t="s">
        <v>1746</v>
      </c>
      <c r="C27" s="444" t="s">
        <v>1023</v>
      </c>
      <c r="D27" s="445"/>
      <c r="E27" s="742">
        <v>105314000</v>
      </c>
      <c r="F27" s="409"/>
    </row>
    <row r="28" spans="1:6" ht="15" customHeight="1">
      <c r="A28" s="442" t="s">
        <v>510</v>
      </c>
      <c r="B28" s="443" t="s">
        <v>511</v>
      </c>
      <c r="C28" s="444" t="s">
        <v>1023</v>
      </c>
      <c r="D28" s="445"/>
      <c r="E28" s="742">
        <v>5219000</v>
      </c>
      <c r="F28" s="409"/>
    </row>
    <row r="29" spans="1:6" ht="15" customHeight="1">
      <c r="A29" s="442" t="s">
        <v>179</v>
      </c>
      <c r="B29" s="443" t="s">
        <v>180</v>
      </c>
      <c r="C29" s="444" t="s">
        <v>1023</v>
      </c>
      <c r="D29" s="445"/>
      <c r="E29" s="858">
        <v>315000</v>
      </c>
      <c r="F29" s="409"/>
    </row>
    <row r="30" spans="1:6" ht="15" customHeight="1">
      <c r="A30" s="442" t="s">
        <v>1023</v>
      </c>
      <c r="B30" s="443" t="s">
        <v>181</v>
      </c>
      <c r="C30" s="444" t="s">
        <v>1023</v>
      </c>
      <c r="D30" s="445"/>
      <c r="E30" s="859">
        <v>164000</v>
      </c>
      <c r="F30" s="409"/>
    </row>
    <row r="31" spans="1:6" ht="15" customHeight="1">
      <c r="A31" s="442" t="s">
        <v>182</v>
      </c>
      <c r="B31" s="443" t="s">
        <v>183</v>
      </c>
      <c r="C31" s="444" t="s">
        <v>1023</v>
      </c>
      <c r="D31" s="445"/>
      <c r="E31" s="742">
        <v>1898000</v>
      </c>
      <c r="F31" s="409"/>
    </row>
    <row r="32" spans="1:6" ht="15" customHeight="1">
      <c r="A32" s="442" t="s">
        <v>1079</v>
      </c>
      <c r="B32" s="443" t="s">
        <v>1080</v>
      </c>
      <c r="C32" s="444" t="s">
        <v>1023</v>
      </c>
      <c r="D32" s="445"/>
      <c r="E32" s="858">
        <v>230000</v>
      </c>
      <c r="F32" s="409"/>
    </row>
    <row r="33" spans="1:6" ht="15" customHeight="1">
      <c r="A33" s="442" t="s">
        <v>1023</v>
      </c>
      <c r="B33" s="443" t="s">
        <v>1081</v>
      </c>
      <c r="C33" s="444" t="s">
        <v>1023</v>
      </c>
      <c r="D33" s="445"/>
      <c r="E33" s="858">
        <v>286000</v>
      </c>
      <c r="F33" s="409"/>
    </row>
    <row r="34" spans="1:6" ht="15" customHeight="1">
      <c r="A34" s="442" t="s">
        <v>1023</v>
      </c>
      <c r="B34" s="443" t="s">
        <v>1041</v>
      </c>
      <c r="C34" s="444" t="s">
        <v>1017</v>
      </c>
      <c r="D34" s="445"/>
      <c r="E34" s="858">
        <v>37440</v>
      </c>
      <c r="F34" s="409"/>
    </row>
    <row r="35" spans="1:6" ht="15" customHeight="1">
      <c r="A35" s="442" t="s">
        <v>184</v>
      </c>
      <c r="B35" s="443" t="s">
        <v>1085</v>
      </c>
      <c r="C35" s="444" t="s">
        <v>1012</v>
      </c>
      <c r="D35" s="445"/>
      <c r="E35" s="445">
        <v>724000</v>
      </c>
      <c r="F35" s="409"/>
    </row>
    <row r="36" spans="1:6" ht="15" customHeight="1">
      <c r="A36" s="442" t="s">
        <v>1023</v>
      </c>
      <c r="B36" s="443" t="s">
        <v>185</v>
      </c>
      <c r="C36" s="444" t="s">
        <v>1023</v>
      </c>
      <c r="D36" s="445"/>
      <c r="E36" s="445">
        <v>362000</v>
      </c>
      <c r="F36" s="409"/>
    </row>
    <row r="37" spans="1:6" ht="15" customHeight="1">
      <c r="A37" s="442" t="s">
        <v>1023</v>
      </c>
      <c r="B37" s="443" t="s">
        <v>1042</v>
      </c>
      <c r="C37" s="444" t="s">
        <v>1023</v>
      </c>
      <c r="D37" s="445"/>
      <c r="E37" s="445">
        <v>76200</v>
      </c>
      <c r="F37" s="409"/>
    </row>
    <row r="38" spans="1:6" ht="15" customHeight="1">
      <c r="A38" s="442" t="s">
        <v>186</v>
      </c>
      <c r="B38" s="443" t="s">
        <v>675</v>
      </c>
      <c r="C38" s="444" t="s">
        <v>1023</v>
      </c>
      <c r="D38" s="445"/>
      <c r="E38" s="858">
        <f>INT(F1*D38/1000)*1000</f>
        <v>0</v>
      </c>
      <c r="F38" s="409"/>
    </row>
    <row r="39" spans="1:6" ht="15" customHeight="1">
      <c r="A39" s="442" t="s">
        <v>1086</v>
      </c>
      <c r="B39" s="443" t="s">
        <v>1043</v>
      </c>
      <c r="C39" s="444" t="s">
        <v>1023</v>
      </c>
      <c r="D39" s="445"/>
      <c r="E39" s="742">
        <v>19618000</v>
      </c>
      <c r="F39" s="409"/>
    </row>
    <row r="40" spans="1:6" ht="15" customHeight="1">
      <c r="A40" s="442" t="s">
        <v>1086</v>
      </c>
      <c r="B40" s="443" t="s">
        <v>676</v>
      </c>
      <c r="C40" s="444" t="s">
        <v>1023</v>
      </c>
      <c r="D40" s="445"/>
      <c r="E40" s="742">
        <v>88085000</v>
      </c>
      <c r="F40" s="409"/>
    </row>
    <row r="41" spans="1:6" ht="15" customHeight="1">
      <c r="A41" s="442" t="s">
        <v>677</v>
      </c>
      <c r="B41" s="443" t="s">
        <v>678</v>
      </c>
      <c r="C41" s="444" t="s">
        <v>1023</v>
      </c>
      <c r="D41" s="445"/>
      <c r="E41" s="858">
        <v>1210000</v>
      </c>
      <c r="F41" s="409"/>
    </row>
    <row r="42" spans="1:6" s="449" customFormat="1" ht="15" customHeight="1">
      <c r="A42" s="451" t="s">
        <v>953</v>
      </c>
      <c r="B42" s="448"/>
      <c r="C42" s="444" t="s">
        <v>1023</v>
      </c>
      <c r="D42" s="446"/>
      <c r="E42" s="744">
        <v>328357000</v>
      </c>
      <c r="F42" s="408"/>
    </row>
    <row r="43" spans="1:6" s="449" customFormat="1" ht="15" customHeight="1">
      <c r="A43" s="451" t="s">
        <v>405</v>
      </c>
      <c r="B43" s="448"/>
      <c r="C43" s="444" t="s">
        <v>1023</v>
      </c>
      <c r="D43" s="446"/>
      <c r="E43" s="744">
        <v>172299000</v>
      </c>
      <c r="F43" s="408"/>
    </row>
    <row r="44" spans="1:6" ht="15" customHeight="1">
      <c r="A44" s="409" t="s">
        <v>1087</v>
      </c>
      <c r="B44" s="450" t="s">
        <v>1088</v>
      </c>
      <c r="C44" s="444" t="s">
        <v>1023</v>
      </c>
      <c r="D44" s="442"/>
      <c r="E44" s="743">
        <v>6339000</v>
      </c>
      <c r="F44" s="409"/>
    </row>
    <row r="45" spans="1:6" ht="15" customHeight="1">
      <c r="A45" s="409" t="s">
        <v>1089</v>
      </c>
      <c r="B45" s="450" t="s">
        <v>1090</v>
      </c>
      <c r="C45" s="444" t="s">
        <v>1023</v>
      </c>
      <c r="D45" s="442"/>
      <c r="E45" s="858">
        <v>54585000</v>
      </c>
      <c r="F45" s="409"/>
    </row>
    <row r="46" spans="1:6" ht="15" customHeight="1">
      <c r="A46" s="409" t="s">
        <v>1091</v>
      </c>
      <c r="B46" s="450" t="s">
        <v>2303</v>
      </c>
      <c r="C46" s="444" t="s">
        <v>1023</v>
      </c>
      <c r="D46" s="442"/>
      <c r="E46" s="742">
        <v>51074000</v>
      </c>
      <c r="F46" s="409"/>
    </row>
    <row r="47" spans="1:6" ht="15" customHeight="1">
      <c r="A47" s="409" t="s">
        <v>1092</v>
      </c>
      <c r="B47" s="450" t="s">
        <v>2304</v>
      </c>
      <c r="C47" s="444" t="s">
        <v>1023</v>
      </c>
      <c r="D47" s="442"/>
      <c r="E47" s="742">
        <v>44916000</v>
      </c>
      <c r="F47" s="409"/>
    </row>
    <row r="48" spans="1:6" ht="15" customHeight="1">
      <c r="A48" s="409" t="s">
        <v>1044</v>
      </c>
      <c r="B48" s="450" t="s">
        <v>2304</v>
      </c>
      <c r="C48" s="444" t="s">
        <v>1023</v>
      </c>
      <c r="D48" s="442"/>
      <c r="E48" s="742">
        <v>57442000</v>
      </c>
      <c r="F48" s="409"/>
    </row>
    <row r="49" spans="1:6" ht="15" customHeight="1">
      <c r="A49" s="409" t="s">
        <v>1045</v>
      </c>
      <c r="B49" s="450" t="s">
        <v>1093</v>
      </c>
      <c r="C49" s="444" t="s">
        <v>1023</v>
      </c>
      <c r="D49" s="442"/>
      <c r="E49" s="742">
        <v>190726000</v>
      </c>
      <c r="F49" s="409"/>
    </row>
    <row r="50" spans="1:6" ht="15" customHeight="1">
      <c r="A50" s="409" t="s">
        <v>1094</v>
      </c>
      <c r="B50" s="450" t="s">
        <v>1095</v>
      </c>
      <c r="C50" s="444" t="s">
        <v>1023</v>
      </c>
      <c r="D50" s="442"/>
      <c r="E50" s="742">
        <v>1522000</v>
      </c>
      <c r="F50" s="409"/>
    </row>
    <row r="51" spans="1:6" ht="15" customHeight="1">
      <c r="A51" s="409" t="s">
        <v>1245</v>
      </c>
      <c r="B51" s="450" t="s">
        <v>1046</v>
      </c>
      <c r="C51" s="444" t="s">
        <v>1023</v>
      </c>
      <c r="D51" s="442"/>
      <c r="E51" s="742">
        <v>12895000</v>
      </c>
      <c r="F51" s="409"/>
    </row>
    <row r="52" spans="1:6" ht="15" customHeight="1">
      <c r="A52" s="409" t="s">
        <v>1244</v>
      </c>
      <c r="B52" s="450" t="s">
        <v>1047</v>
      </c>
      <c r="C52" s="444" t="s">
        <v>1023</v>
      </c>
      <c r="D52" s="442"/>
      <c r="E52" s="742">
        <v>18668000</v>
      </c>
      <c r="F52" s="409"/>
    </row>
    <row r="53" spans="1:6" ht="15" customHeight="1">
      <c r="A53" s="409" t="s">
        <v>1244</v>
      </c>
      <c r="B53" s="450" t="s">
        <v>1048</v>
      </c>
      <c r="C53" s="444" t="s">
        <v>1023</v>
      </c>
      <c r="D53" s="442"/>
      <c r="E53" s="742">
        <v>30398000</v>
      </c>
      <c r="F53" s="409"/>
    </row>
    <row r="54" spans="1:6" ht="15" customHeight="1">
      <c r="A54" s="409" t="s">
        <v>1244</v>
      </c>
      <c r="B54" s="450" t="s">
        <v>1049</v>
      </c>
      <c r="C54" s="444" t="s">
        <v>1023</v>
      </c>
      <c r="D54" s="442"/>
      <c r="E54" s="742">
        <v>33253000</v>
      </c>
      <c r="F54" s="409"/>
    </row>
    <row r="55" spans="1:6" ht="15" customHeight="1">
      <c r="A55" s="409" t="s">
        <v>1050</v>
      </c>
      <c r="B55" s="450" t="s">
        <v>1074</v>
      </c>
      <c r="C55" s="444" t="s">
        <v>1023</v>
      </c>
      <c r="D55" s="442"/>
      <c r="E55" s="858">
        <f>INT(F1*D55/1000)*1000</f>
        <v>0</v>
      </c>
      <c r="F55" s="409"/>
    </row>
    <row r="56" spans="1:6" ht="15" customHeight="1">
      <c r="A56" s="409" t="s">
        <v>1246</v>
      </c>
      <c r="B56" s="450" t="s">
        <v>1075</v>
      </c>
      <c r="C56" s="444" t="s">
        <v>1023</v>
      </c>
      <c r="D56" s="442"/>
      <c r="E56" s="858">
        <v>97000</v>
      </c>
      <c r="F56" s="409"/>
    </row>
    <row r="57" spans="1:6" ht="15" customHeight="1">
      <c r="A57" s="409" t="s">
        <v>1096</v>
      </c>
      <c r="B57" s="450" t="s">
        <v>1049</v>
      </c>
      <c r="C57" s="444" t="s">
        <v>1023</v>
      </c>
      <c r="D57" s="442"/>
      <c r="E57" s="858">
        <v>41279000</v>
      </c>
      <c r="F57" s="409"/>
    </row>
    <row r="58" spans="1:6" ht="15" customHeight="1">
      <c r="A58" s="409" t="s">
        <v>1097</v>
      </c>
      <c r="B58" s="450" t="s">
        <v>1098</v>
      </c>
      <c r="C58" s="444" t="s">
        <v>1023</v>
      </c>
      <c r="D58" s="442"/>
      <c r="E58" s="742">
        <v>359000</v>
      </c>
      <c r="F58" s="409"/>
    </row>
    <row r="59" spans="1:6" ht="15" customHeight="1">
      <c r="A59" s="409" t="s">
        <v>1099</v>
      </c>
      <c r="B59" s="450" t="s">
        <v>1100</v>
      </c>
      <c r="C59" s="444" t="s">
        <v>1023</v>
      </c>
      <c r="D59" s="442"/>
      <c r="E59" s="742">
        <v>18238000</v>
      </c>
      <c r="F59" s="409"/>
    </row>
    <row r="60" spans="1:6" ht="15" customHeight="1">
      <c r="A60" s="409" t="s">
        <v>1076</v>
      </c>
      <c r="B60" s="450" t="s">
        <v>1251</v>
      </c>
      <c r="C60" s="444" t="s">
        <v>1023</v>
      </c>
      <c r="D60" s="442"/>
      <c r="E60" s="858">
        <f>INT(F1*D60/1000)*1000</f>
        <v>0</v>
      </c>
      <c r="F60" s="409"/>
    </row>
    <row r="61" spans="1:6" ht="15" customHeight="1">
      <c r="A61" s="409" t="s">
        <v>1244</v>
      </c>
      <c r="B61" s="450" t="s">
        <v>1247</v>
      </c>
      <c r="C61" s="444" t="s">
        <v>1023</v>
      </c>
      <c r="D61" s="442"/>
      <c r="E61" s="858">
        <f>INT(F1*D61/1000)*1000</f>
        <v>0</v>
      </c>
      <c r="F61" s="409"/>
    </row>
    <row r="62" spans="1:6" ht="15" customHeight="1">
      <c r="A62" s="409" t="s">
        <v>1248</v>
      </c>
      <c r="B62" s="450" t="s">
        <v>201</v>
      </c>
      <c r="C62" s="437" t="s">
        <v>1747</v>
      </c>
      <c r="D62" s="442"/>
      <c r="E62" s="858">
        <f>INT(F1*D62/1000)*1000</f>
        <v>0</v>
      </c>
      <c r="F62" s="409"/>
    </row>
    <row r="63" spans="1:6" ht="15" customHeight="1">
      <c r="A63" s="409" t="s">
        <v>1249</v>
      </c>
      <c r="B63" s="450" t="s">
        <v>1250</v>
      </c>
      <c r="C63" s="444" t="s">
        <v>1023</v>
      </c>
      <c r="D63" s="442"/>
      <c r="E63" s="858">
        <v>3324000</v>
      </c>
      <c r="F63" s="409"/>
    </row>
    <row r="64" spans="1:6" ht="15" customHeight="1">
      <c r="A64" s="408" t="s">
        <v>1101</v>
      </c>
      <c r="B64" s="450" t="s">
        <v>1102</v>
      </c>
      <c r="C64" s="444" t="s">
        <v>1023</v>
      </c>
      <c r="D64" s="442"/>
      <c r="E64" s="858">
        <f>INT(F1*D64/1000)*1000</f>
        <v>0</v>
      </c>
      <c r="F64" s="409"/>
    </row>
    <row r="65" spans="1:6" ht="15" customHeight="1">
      <c r="A65" s="409" t="s">
        <v>1103</v>
      </c>
      <c r="B65" s="450" t="s">
        <v>202</v>
      </c>
      <c r="C65" s="444" t="s">
        <v>1023</v>
      </c>
      <c r="D65" s="442"/>
      <c r="E65" s="858">
        <v>13751000</v>
      </c>
      <c r="F65" s="409"/>
    </row>
    <row r="66" spans="1:6" ht="15" customHeight="1">
      <c r="A66" s="442" t="s">
        <v>1104</v>
      </c>
      <c r="B66" s="443" t="s">
        <v>1105</v>
      </c>
      <c r="C66" s="444" t="s">
        <v>1023</v>
      </c>
      <c r="D66" s="445"/>
      <c r="E66" s="858">
        <v>160000</v>
      </c>
      <c r="F66" s="409"/>
    </row>
    <row r="67" spans="1:6" ht="15" customHeight="1">
      <c r="A67" s="442" t="s">
        <v>1249</v>
      </c>
      <c r="B67" s="443" t="s">
        <v>1106</v>
      </c>
      <c r="C67" s="444" t="s">
        <v>1023</v>
      </c>
      <c r="D67" s="442"/>
      <c r="E67" s="742">
        <v>284000</v>
      </c>
      <c r="F67" s="409"/>
    </row>
    <row r="68" spans="1:6" s="449" customFormat="1" ht="15" customHeight="1">
      <c r="A68" s="447" t="s">
        <v>1107</v>
      </c>
      <c r="B68" s="451" t="s">
        <v>1108</v>
      </c>
      <c r="C68" s="444" t="s">
        <v>1023</v>
      </c>
      <c r="D68" s="446"/>
      <c r="E68" s="859">
        <v>15330</v>
      </c>
      <c r="F68" s="408"/>
    </row>
    <row r="69" spans="1:6" s="449" customFormat="1" ht="15" customHeight="1">
      <c r="A69" s="447" t="s">
        <v>1104</v>
      </c>
      <c r="B69" s="451" t="s">
        <v>1109</v>
      </c>
      <c r="C69" s="444" t="s">
        <v>1023</v>
      </c>
      <c r="D69" s="446"/>
      <c r="E69" s="859">
        <v>200000</v>
      </c>
      <c r="F69" s="408"/>
    </row>
    <row r="70" spans="1:6" s="449" customFormat="1" ht="15" customHeight="1">
      <c r="A70" s="447" t="s">
        <v>1107</v>
      </c>
      <c r="B70" s="451" t="s">
        <v>1110</v>
      </c>
      <c r="C70" s="444" t="s">
        <v>1023</v>
      </c>
      <c r="D70" s="446"/>
      <c r="E70" s="859">
        <v>18246</v>
      </c>
      <c r="F70" s="408"/>
    </row>
    <row r="71" spans="1:6" ht="15" customHeight="1">
      <c r="A71" s="409" t="s">
        <v>1111</v>
      </c>
      <c r="B71" s="450" t="s">
        <v>203</v>
      </c>
      <c r="C71" s="444" t="s">
        <v>1023</v>
      </c>
      <c r="D71" s="442"/>
      <c r="E71" s="860">
        <v>95229000</v>
      </c>
      <c r="F71" s="409"/>
    </row>
    <row r="72" spans="1:6" ht="15" customHeight="1">
      <c r="A72" s="409" t="s">
        <v>1112</v>
      </c>
      <c r="B72" s="450" t="s">
        <v>204</v>
      </c>
      <c r="C72" s="444" t="s">
        <v>1023</v>
      </c>
      <c r="D72" s="442"/>
      <c r="E72" s="860">
        <v>73754000</v>
      </c>
      <c r="F72" s="409"/>
    </row>
    <row r="73" spans="1:6" ht="15" customHeight="1">
      <c r="A73" s="409" t="s">
        <v>1099</v>
      </c>
      <c r="B73" s="450" t="s">
        <v>1113</v>
      </c>
      <c r="C73" s="444" t="s">
        <v>1023</v>
      </c>
      <c r="D73" s="442"/>
      <c r="E73" s="742">
        <v>13275000</v>
      </c>
      <c r="F73" s="409"/>
    </row>
    <row r="74" spans="1:6" ht="15" customHeight="1">
      <c r="A74" s="409" t="s">
        <v>1252</v>
      </c>
      <c r="B74" s="745" t="s">
        <v>2306</v>
      </c>
      <c r="C74" s="444" t="s">
        <v>1023</v>
      </c>
      <c r="D74" s="442"/>
      <c r="E74" s="742">
        <v>43412000</v>
      </c>
      <c r="F74" s="409"/>
    </row>
    <row r="75" spans="1:6" ht="15" customHeight="1">
      <c r="A75" s="409" t="s">
        <v>1253</v>
      </c>
      <c r="B75" s="450" t="s">
        <v>1254</v>
      </c>
      <c r="C75" s="444" t="s">
        <v>1023</v>
      </c>
      <c r="D75" s="442"/>
      <c r="E75" s="742">
        <v>6863000</v>
      </c>
      <c r="F75" s="409"/>
    </row>
    <row r="76" spans="1:6" ht="15" customHeight="1">
      <c r="A76" s="409" t="s">
        <v>1255</v>
      </c>
      <c r="B76" s="450" t="s">
        <v>1256</v>
      </c>
      <c r="C76" s="444" t="s">
        <v>1023</v>
      </c>
      <c r="D76" s="442"/>
      <c r="E76" s="858">
        <v>2331000</v>
      </c>
      <c r="F76" s="409"/>
    </row>
    <row r="77" spans="1:6" ht="15" customHeight="1">
      <c r="A77" s="409" t="s">
        <v>403</v>
      </c>
      <c r="B77" s="450" t="s">
        <v>404</v>
      </c>
      <c r="C77" s="444" t="s">
        <v>1023</v>
      </c>
      <c r="D77" s="442"/>
      <c r="E77" s="742">
        <v>891000</v>
      </c>
      <c r="F77" s="409"/>
    </row>
    <row r="78" spans="1:6" ht="15" customHeight="1">
      <c r="A78" s="409" t="s">
        <v>2152</v>
      </c>
      <c r="B78" s="450" t="s">
        <v>2520</v>
      </c>
      <c r="C78" s="444" t="s">
        <v>1023</v>
      </c>
      <c r="D78" s="442"/>
      <c r="E78" s="742">
        <v>195085000</v>
      </c>
      <c r="F78" s="409"/>
    </row>
    <row r="79" spans="1:6" ht="15" customHeight="1">
      <c r="A79" s="409" t="s">
        <v>2156</v>
      </c>
      <c r="B79" s="450" t="s">
        <v>2305</v>
      </c>
      <c r="C79" s="444" t="s">
        <v>1023</v>
      </c>
      <c r="D79" s="442"/>
      <c r="E79" s="743">
        <v>6005000</v>
      </c>
      <c r="F79" s="409"/>
    </row>
    <row r="80" spans="1:6" ht="15" customHeight="1">
      <c r="A80" s="409" t="s">
        <v>2157</v>
      </c>
      <c r="B80" s="450" t="s">
        <v>2158</v>
      </c>
      <c r="C80" s="444" t="s">
        <v>1023</v>
      </c>
      <c r="D80" s="442"/>
      <c r="E80" s="743">
        <v>792000</v>
      </c>
      <c r="F80" s="409"/>
    </row>
    <row r="81" spans="1:6" ht="15" customHeight="1">
      <c r="A81" s="409" t="s">
        <v>2483</v>
      </c>
      <c r="B81" s="450" t="s">
        <v>2517</v>
      </c>
      <c r="C81" s="444" t="s">
        <v>1023</v>
      </c>
      <c r="D81" s="442"/>
      <c r="E81" s="743">
        <v>10119000</v>
      </c>
      <c r="F81" s="409"/>
    </row>
    <row r="82" spans="1:6" ht="15" customHeight="1">
      <c r="A82" s="409" t="s">
        <v>2483</v>
      </c>
      <c r="B82" s="450" t="s">
        <v>2518</v>
      </c>
      <c r="C82" s="444" t="s">
        <v>1023</v>
      </c>
      <c r="D82" s="442"/>
      <c r="E82" s="743">
        <v>14795000</v>
      </c>
      <c r="F82" s="409"/>
    </row>
    <row r="83" spans="1:6" ht="15" customHeight="1">
      <c r="A83" s="409" t="s">
        <v>2483</v>
      </c>
      <c r="B83" s="450" t="s">
        <v>2519</v>
      </c>
      <c r="C83" s="444" t="s">
        <v>1023</v>
      </c>
      <c r="D83" s="442"/>
      <c r="E83" s="743">
        <v>18342000</v>
      </c>
      <c r="F83" s="409"/>
    </row>
    <row r="84" spans="1:6" ht="15" customHeight="1">
      <c r="A84" s="409"/>
      <c r="B84" s="450"/>
      <c r="C84" s="444"/>
      <c r="D84" s="442"/>
      <c r="E84" s="860"/>
      <c r="F84" s="409"/>
    </row>
    <row r="85" spans="1:6" ht="15" customHeight="1">
      <c r="D85" s="454"/>
      <c r="E85" s="454"/>
    </row>
    <row r="86" spans="1:6" ht="15" customHeight="1">
      <c r="D86" s="454"/>
      <c r="E86" s="454"/>
    </row>
    <row r="87" spans="1:6" ht="15" customHeight="1">
      <c r="D87" s="454"/>
      <c r="E87" s="454"/>
    </row>
    <row r="88" spans="1:6" ht="15" customHeight="1">
      <c r="D88" s="454"/>
      <c r="E88" s="454"/>
    </row>
    <row r="89" spans="1:6" ht="15" customHeight="1">
      <c r="D89" s="454"/>
      <c r="E89" s="454"/>
    </row>
    <row r="90" spans="1:6" ht="15" customHeight="1">
      <c r="D90" s="454"/>
      <c r="E90" s="454"/>
    </row>
    <row r="91" spans="1:6" ht="15" customHeight="1">
      <c r="D91" s="454"/>
      <c r="E91" s="454"/>
    </row>
    <row r="92" spans="1:6" ht="15" customHeight="1">
      <c r="D92" s="454"/>
      <c r="E92" s="454"/>
    </row>
    <row r="93" spans="1:6" ht="15" customHeight="1">
      <c r="D93" s="454"/>
      <c r="E93" s="454"/>
    </row>
    <row r="94" spans="1:6" ht="15" customHeight="1">
      <c r="D94" s="454"/>
      <c r="E94" s="454"/>
    </row>
    <row r="95" spans="1:6" ht="15" customHeight="1">
      <c r="D95" s="454"/>
      <c r="E95" s="454"/>
    </row>
    <row r="96" spans="1:6" ht="15" customHeight="1">
      <c r="D96" s="454"/>
      <c r="E96" s="454"/>
    </row>
    <row r="97" spans="4:5" ht="15" customHeight="1">
      <c r="D97" s="454"/>
      <c r="E97" s="454"/>
    </row>
    <row r="98" spans="4:5" ht="15" customHeight="1">
      <c r="D98" s="454"/>
      <c r="E98" s="454"/>
    </row>
    <row r="99" spans="4:5" ht="15" customHeight="1">
      <c r="D99" s="454"/>
      <c r="E99" s="454"/>
    </row>
    <row r="100" spans="4:5" ht="15" customHeight="1">
      <c r="D100" s="454"/>
      <c r="E100" s="454"/>
    </row>
    <row r="101" spans="4:5" ht="15" customHeight="1">
      <c r="D101" s="454"/>
      <c r="E101" s="454"/>
    </row>
    <row r="102" spans="4:5" ht="15" customHeight="1">
      <c r="D102" s="454"/>
      <c r="E102" s="454"/>
    </row>
    <row r="103" spans="4:5" ht="15" customHeight="1">
      <c r="D103" s="454"/>
      <c r="E103" s="454"/>
    </row>
    <row r="104" spans="4:5" ht="15" customHeight="1">
      <c r="D104" s="454"/>
      <c r="E104" s="454"/>
    </row>
    <row r="105" spans="4:5" ht="15" customHeight="1">
      <c r="D105" s="454"/>
      <c r="E105" s="454"/>
    </row>
    <row r="106" spans="4:5" ht="15" customHeight="1">
      <c r="D106" s="454"/>
      <c r="E106" s="454"/>
    </row>
    <row r="107" spans="4:5" ht="15" customHeight="1">
      <c r="D107" s="454"/>
      <c r="E107" s="454"/>
    </row>
    <row r="108" spans="4:5" ht="15" customHeight="1">
      <c r="D108" s="454"/>
      <c r="E108" s="454"/>
    </row>
    <row r="109" spans="4:5" ht="15" customHeight="1">
      <c r="D109" s="454"/>
      <c r="E109" s="454"/>
    </row>
    <row r="110" spans="4:5" ht="15" customHeight="1">
      <c r="D110" s="454"/>
      <c r="E110" s="454"/>
    </row>
    <row r="111" spans="4:5" ht="15" customHeight="1">
      <c r="D111" s="454"/>
      <c r="E111" s="454"/>
    </row>
    <row r="112" spans="4:5" ht="15" customHeight="1">
      <c r="D112" s="454"/>
      <c r="E112" s="454"/>
    </row>
    <row r="113" spans="4:5" ht="15" customHeight="1">
      <c r="D113" s="454"/>
      <c r="E113" s="454"/>
    </row>
    <row r="114" spans="4:5" ht="15" customHeight="1">
      <c r="D114" s="454"/>
      <c r="E114" s="454"/>
    </row>
    <row r="115" spans="4:5" ht="15" customHeight="1">
      <c r="D115" s="455"/>
      <c r="E115" s="455"/>
    </row>
    <row r="116" spans="4:5" ht="15" customHeight="1">
      <c r="D116" s="454"/>
      <c r="E116" s="454"/>
    </row>
    <row r="117" spans="4:5" ht="15" customHeight="1">
      <c r="D117" s="454"/>
      <c r="E117" s="454"/>
    </row>
    <row r="118" spans="4:5" ht="15" customHeight="1">
      <c r="D118" s="454"/>
      <c r="E118" s="454"/>
    </row>
    <row r="119" spans="4:5" ht="15" customHeight="1">
      <c r="D119" s="454"/>
      <c r="E119" s="454"/>
    </row>
    <row r="120" spans="4:5" ht="15" customHeight="1">
      <c r="D120" s="454"/>
      <c r="E120" s="454"/>
    </row>
    <row r="121" spans="4:5" ht="15" customHeight="1">
      <c r="D121" s="454"/>
      <c r="E121" s="454"/>
    </row>
    <row r="122" spans="4:5" ht="15" customHeight="1">
      <c r="D122" s="454"/>
      <c r="E122" s="454"/>
    </row>
    <row r="123" spans="4:5" ht="15" customHeight="1">
      <c r="D123" s="454"/>
      <c r="E123" s="454"/>
    </row>
    <row r="124" spans="4:5" ht="15" customHeight="1">
      <c r="D124" s="454"/>
      <c r="E124" s="454"/>
    </row>
    <row r="125" spans="4:5" ht="15" customHeight="1">
      <c r="D125" s="454"/>
      <c r="E125" s="454"/>
    </row>
    <row r="126" spans="4:5" ht="15" customHeight="1">
      <c r="D126" s="454"/>
      <c r="E126" s="454"/>
    </row>
    <row r="127" spans="4:5" ht="15" customHeight="1">
      <c r="D127" s="454"/>
      <c r="E127" s="454"/>
    </row>
    <row r="128" spans="4:5" ht="15" customHeight="1">
      <c r="D128" s="454"/>
      <c r="E128" s="454"/>
    </row>
    <row r="129" spans="4:5" ht="15" customHeight="1">
      <c r="D129" s="454"/>
      <c r="E129" s="454"/>
    </row>
    <row r="130" spans="4:5" ht="15" customHeight="1">
      <c r="D130" s="454"/>
      <c r="E130" s="454"/>
    </row>
    <row r="131" spans="4:5" ht="15" customHeight="1">
      <c r="D131" s="454"/>
      <c r="E131" s="454"/>
    </row>
    <row r="132" spans="4:5" ht="15" customHeight="1">
      <c r="D132" s="454"/>
      <c r="E132" s="454"/>
    </row>
    <row r="133" spans="4:5" ht="15" customHeight="1">
      <c r="D133" s="454"/>
      <c r="E133" s="454"/>
    </row>
    <row r="134" spans="4:5" ht="15" customHeight="1">
      <c r="D134" s="454"/>
      <c r="E134" s="454"/>
    </row>
    <row r="135" spans="4:5" ht="15" customHeight="1">
      <c r="D135" s="454"/>
      <c r="E135" s="454"/>
    </row>
    <row r="136" spans="4:5" ht="15" customHeight="1">
      <c r="D136" s="454"/>
      <c r="E136" s="454"/>
    </row>
    <row r="137" spans="4:5" ht="15" customHeight="1">
      <c r="D137" s="454"/>
      <c r="E137" s="454"/>
    </row>
    <row r="138" spans="4:5" ht="15" customHeight="1">
      <c r="D138" s="454"/>
      <c r="E138" s="454"/>
    </row>
    <row r="139" spans="4:5" ht="15" customHeight="1">
      <c r="D139" s="454"/>
      <c r="E139" s="454"/>
    </row>
    <row r="140" spans="4:5" ht="15" customHeight="1">
      <c r="D140" s="454"/>
      <c r="E140" s="454"/>
    </row>
    <row r="141" spans="4:5" ht="15" customHeight="1">
      <c r="D141" s="454"/>
      <c r="E141" s="454"/>
    </row>
    <row r="142" spans="4:5" ht="15" customHeight="1">
      <c r="D142" s="454"/>
      <c r="E142" s="454"/>
    </row>
    <row r="143" spans="4:5" ht="15" customHeight="1">
      <c r="D143" s="454"/>
      <c r="E143" s="454"/>
    </row>
    <row r="144" spans="4:5" ht="15" customHeight="1">
      <c r="D144" s="454"/>
      <c r="E144" s="454"/>
    </row>
  </sheetData>
  <customSheetViews>
    <customSheetView guid="{D73D5080-A04E-11D4-B8A5-00609727EAB1}" showPageBreaks="1" hiddenRows="1" showRuler="0" topLeftCell="A4">
      <selection activeCell="F16" sqref="F16"/>
      <pageMargins left="0.75" right="0.4" top="1" bottom="1" header="0.5" footer="0.5"/>
      <pageSetup paperSize="9" orientation="landscape" horizontalDpi="300" verticalDpi="300" r:id="rId1"/>
      <headerFooter alignWithMargins="0"/>
    </customSheetView>
    <customSheetView guid="{2D877E0D-A04C-11D4-947E-00001C044B2C}" hiddenRows="1" showRuler="0">
      <pageMargins left="0.75" right="0.4" top="1" bottom="1" header="0.5" footer="0.5"/>
      <pageSetup paperSize="9" orientation="landscape" horizontalDpi="300" verticalDpi="300" r:id="rId2"/>
      <headerFooter alignWithMargins="0"/>
    </customSheetView>
    <customSheetView guid="{6F21C780-A002-11D4-A1D9-00104BD549C6}" hiddenRows="1" showRuler="0">
      <pageMargins left="0.75" right="0.4" top="1" bottom="1" header="0.5" footer="0.5"/>
      <pageSetup paperSize="9" orientation="landscape" horizontalDpi="300" verticalDpi="300" r:id="rId3"/>
      <headerFooter alignWithMargins="0"/>
    </customSheetView>
  </customSheetViews>
  <mergeCells count="3">
    <mergeCell ref="A2:A3"/>
    <mergeCell ref="B2:B3"/>
    <mergeCell ref="F2:F3"/>
  </mergeCells>
  <phoneticPr fontId="3" type="noConversion"/>
  <pageMargins left="0.39370078740157483" right="0.39370078740157483" top="0.78740157480314965" bottom="0.39370078740157483" header="0.39370078740157483" footer="0.39370078740157483"/>
  <pageSetup paperSize="9" orientation="landscape" horizontalDpi="300" verticalDpi="300" r:id="rId4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2"/>
  <dimension ref="A1:F16"/>
  <sheetViews>
    <sheetView view="pageBreakPreview" zoomScale="85" zoomScaleNormal="100" zoomScaleSheetLayoutView="85" workbookViewId="0">
      <selection activeCell="B17" sqref="B17"/>
    </sheetView>
  </sheetViews>
  <sheetFormatPr defaultColWidth="9.44140625" defaultRowHeight="20.100000000000001" customHeight="1"/>
  <cols>
    <col min="1" max="1" width="17.88671875" style="309" customWidth="1"/>
    <col min="2" max="2" width="16.77734375" style="28" customWidth="1"/>
    <col min="3" max="3" width="17.88671875" style="28" customWidth="1"/>
    <col min="4" max="4" width="16.77734375" style="28" customWidth="1"/>
    <col min="5" max="5" width="17.88671875" style="28" customWidth="1"/>
    <col min="6" max="6" width="16.77734375" style="28" customWidth="1"/>
    <col min="7" max="16384" width="9.44140625" style="28"/>
  </cols>
  <sheetData>
    <row r="1" spans="1:6" ht="29.25" customHeight="1">
      <c r="A1" s="494" t="s">
        <v>2085</v>
      </c>
      <c r="C1" s="28" t="s">
        <v>2086</v>
      </c>
    </row>
    <row r="2" spans="1:6" ht="30" customHeight="1">
      <c r="A2" s="382" t="s">
        <v>591</v>
      </c>
      <c r="B2" s="536" t="s">
        <v>592</v>
      </c>
      <c r="C2" s="537" t="s">
        <v>591</v>
      </c>
      <c r="D2" s="536" t="s">
        <v>592</v>
      </c>
      <c r="E2" s="537" t="s">
        <v>591</v>
      </c>
      <c r="F2" s="377" t="s">
        <v>592</v>
      </c>
    </row>
    <row r="3" spans="1:6" ht="30" customHeight="1">
      <c r="A3" s="456" t="s">
        <v>2167</v>
      </c>
      <c r="B3" s="666">
        <v>277642</v>
      </c>
      <c r="C3" s="538" t="s">
        <v>593</v>
      </c>
      <c r="D3" s="666">
        <v>266361</v>
      </c>
      <c r="E3" s="538" t="s">
        <v>2227</v>
      </c>
      <c r="F3" s="673">
        <v>273971</v>
      </c>
    </row>
    <row r="4" spans="1:6" ht="30" customHeight="1">
      <c r="A4" s="456" t="s">
        <v>1366</v>
      </c>
      <c r="B4" s="666">
        <v>272931</v>
      </c>
      <c r="C4" s="538" t="s">
        <v>699</v>
      </c>
      <c r="D4" s="666">
        <v>238145</v>
      </c>
      <c r="E4" s="538" t="s">
        <v>2228</v>
      </c>
      <c r="F4" s="673">
        <v>202954</v>
      </c>
    </row>
    <row r="5" spans="1:6" ht="30" customHeight="1">
      <c r="A5" s="456" t="s">
        <v>2168</v>
      </c>
      <c r="B5" s="666">
        <v>247188</v>
      </c>
      <c r="C5" s="538" t="s">
        <v>2169</v>
      </c>
      <c r="D5" s="666">
        <v>253409</v>
      </c>
      <c r="E5" s="538" t="s">
        <v>2229</v>
      </c>
      <c r="F5" s="673">
        <v>237500</v>
      </c>
    </row>
    <row r="6" spans="1:6" ht="30" customHeight="1">
      <c r="A6" s="456" t="s">
        <v>2170</v>
      </c>
      <c r="B6" s="666">
        <v>239808</v>
      </c>
      <c r="C6" s="538" t="s">
        <v>2171</v>
      </c>
      <c r="D6" s="666">
        <v>252249</v>
      </c>
      <c r="E6" s="538" t="s">
        <v>2230</v>
      </c>
      <c r="F6" s="673">
        <v>170920</v>
      </c>
    </row>
    <row r="7" spans="1:6" ht="30" customHeight="1">
      <c r="A7" s="456" t="s">
        <v>2172</v>
      </c>
      <c r="B7" s="666">
        <v>268187</v>
      </c>
      <c r="C7" s="539" t="s">
        <v>2173</v>
      </c>
      <c r="D7" s="669">
        <v>258751</v>
      </c>
      <c r="E7" s="538" t="s">
        <v>2231</v>
      </c>
      <c r="F7" s="674" t="s">
        <v>2232</v>
      </c>
    </row>
    <row r="8" spans="1:6" ht="30" customHeight="1">
      <c r="A8" s="231" t="s">
        <v>2174</v>
      </c>
      <c r="B8" s="666">
        <v>221481</v>
      </c>
      <c r="C8" s="538" t="s">
        <v>2175</v>
      </c>
      <c r="D8" s="666">
        <v>220081</v>
      </c>
      <c r="E8" s="538" t="s">
        <v>2233</v>
      </c>
      <c r="F8" s="673">
        <v>237652</v>
      </c>
    </row>
    <row r="9" spans="1:6" ht="30" customHeight="1">
      <c r="A9" s="231" t="s">
        <v>2176</v>
      </c>
      <c r="B9" s="667" t="s">
        <v>2224</v>
      </c>
      <c r="C9" s="538" t="s">
        <v>698</v>
      </c>
      <c r="D9" s="666">
        <v>267989</v>
      </c>
      <c r="E9" s="538" t="s">
        <v>2234</v>
      </c>
      <c r="F9" s="673">
        <v>248139</v>
      </c>
    </row>
    <row r="10" spans="1:6" ht="30" customHeight="1">
      <c r="A10" s="231" t="s">
        <v>2177</v>
      </c>
      <c r="B10" s="668" t="s">
        <v>2225</v>
      </c>
      <c r="C10" s="538" t="s">
        <v>2178</v>
      </c>
      <c r="D10" s="670">
        <v>216121</v>
      </c>
      <c r="E10" s="538" t="s">
        <v>2235</v>
      </c>
      <c r="F10" s="673">
        <v>201482</v>
      </c>
    </row>
    <row r="11" spans="1:6" ht="30" customHeight="1">
      <c r="A11" s="456" t="s">
        <v>2179</v>
      </c>
      <c r="B11" s="666">
        <v>268908</v>
      </c>
      <c r="C11" s="538" t="s">
        <v>1711</v>
      </c>
      <c r="D11" s="666">
        <v>215907</v>
      </c>
      <c r="E11" s="538" t="s">
        <v>17</v>
      </c>
      <c r="F11" s="673">
        <v>278326</v>
      </c>
    </row>
    <row r="12" spans="1:6" ht="30" customHeight="1">
      <c r="A12" s="456" t="s">
        <v>2180</v>
      </c>
      <c r="B12" s="666">
        <v>279433</v>
      </c>
      <c r="C12" s="538" t="s">
        <v>2181</v>
      </c>
      <c r="D12" s="671">
        <v>180404</v>
      </c>
      <c r="E12" s="538" t="s">
        <v>2236</v>
      </c>
      <c r="F12" s="673">
        <v>236986</v>
      </c>
    </row>
    <row r="13" spans="1:6" ht="30" customHeight="1">
      <c r="A13" s="456" t="s">
        <v>939</v>
      </c>
      <c r="B13" s="666">
        <v>272354</v>
      </c>
      <c r="C13" s="538" t="s">
        <v>1365</v>
      </c>
      <c r="D13" s="666">
        <v>226122</v>
      </c>
      <c r="E13" s="539" t="s">
        <v>2237</v>
      </c>
      <c r="F13" s="675">
        <v>201535</v>
      </c>
    </row>
    <row r="14" spans="1:6" ht="30" customHeight="1">
      <c r="A14" s="456" t="s">
        <v>2182</v>
      </c>
      <c r="B14" s="666">
        <v>220722</v>
      </c>
      <c r="C14" s="538" t="s">
        <v>27</v>
      </c>
      <c r="D14" s="666">
        <v>172068</v>
      </c>
      <c r="E14" s="539" t="s">
        <v>2238</v>
      </c>
      <c r="F14" s="675">
        <v>299776</v>
      </c>
    </row>
    <row r="15" spans="1:6" ht="30" customHeight="1">
      <c r="A15" s="67" t="s">
        <v>2183</v>
      </c>
      <c r="B15" s="669">
        <v>206732</v>
      </c>
      <c r="C15" s="672" t="s">
        <v>2226</v>
      </c>
      <c r="D15" s="666">
        <v>266624</v>
      </c>
      <c r="E15" s="539" t="s">
        <v>2239</v>
      </c>
      <c r="F15" s="675">
        <v>224132</v>
      </c>
    </row>
    <row r="16" spans="1:6" ht="30" customHeight="1">
      <c r="A16" s="538" t="s">
        <v>2479</v>
      </c>
      <c r="B16" s="666">
        <v>262580</v>
      </c>
      <c r="C16" s="540"/>
      <c r="D16" s="2"/>
      <c r="E16" s="540"/>
      <c r="F16" s="1"/>
    </row>
  </sheetData>
  <customSheetViews>
    <customSheetView guid="{D73D5080-A04E-11D4-B8A5-00609727EAB1}" showPageBreaks="1" showRuler="0">
      <selection activeCell="N14" sqref="N14"/>
      <pageMargins left="0.75" right="0.59" top="1" bottom="1" header="0.5" footer="0.5"/>
      <pageSetup paperSize="9" orientation="landscape" horizontalDpi="300" verticalDpi="300" r:id="rId1"/>
      <headerFooter alignWithMargins="0"/>
    </customSheetView>
    <customSheetView guid="{2D877E0D-A04C-11D4-947E-00001C044B2C}" showRuler="0">
      <selection activeCell="D17" sqref="D17"/>
      <pageMargins left="0.75" right="0.59" top="1" bottom="1" header="0.5" footer="0.5"/>
      <pageSetup paperSize="9" orientation="landscape" horizontalDpi="300" verticalDpi="300" r:id="rId2"/>
      <headerFooter alignWithMargins="0"/>
    </customSheetView>
    <customSheetView guid="{6F21C780-A002-11D4-A1D9-00104BD549C6}" showRuler="0">
      <selection activeCell="D17" sqref="D17"/>
      <pageMargins left="0.75" right="0.59" top="1" bottom="1" header="0.5" footer="0.5"/>
      <pageSetup paperSize="9" orientation="landscape" horizontalDpi="300" verticalDpi="300" r:id="rId3"/>
      <headerFooter alignWithMargins="0"/>
    </customSheetView>
  </customSheetViews>
  <phoneticPr fontId="3" type="noConversion"/>
  <printOptions horizontalCentered="1"/>
  <pageMargins left="0.39370078740157483" right="0.39370078740157483" top="0.78740157480314965" bottom="0.39370078740157483" header="0" footer="0"/>
  <pageSetup paperSize="9" orientation="landscape" r:id="rId4"/>
  <headerFooter alignWithMargins="0"/>
  <drawing r:id="rId5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"/>
  <dimension ref="A1:M284"/>
  <sheetViews>
    <sheetView view="pageBreakPreview" topLeftCell="A254" zoomScale="106" zoomScaleNormal="100" zoomScaleSheetLayoutView="106" workbookViewId="0">
      <selection activeCell="F284" sqref="F284"/>
    </sheetView>
  </sheetViews>
  <sheetFormatPr defaultColWidth="9.44140625" defaultRowHeight="18" customHeight="1"/>
  <cols>
    <col min="1" max="1" width="12.5546875" style="88" customWidth="1"/>
    <col min="2" max="2" width="21" style="88" customWidth="1"/>
    <col min="3" max="3" width="27.5546875" style="88" customWidth="1"/>
    <col min="4" max="4" width="5.77734375" style="28" customWidth="1"/>
    <col min="5" max="5" width="5.77734375" style="10" customWidth="1"/>
    <col min="6" max="6" width="11.5546875" style="10" customWidth="1"/>
    <col min="7" max="7" width="31.21875" style="88" customWidth="1"/>
    <col min="8" max="16384" width="9.44140625" style="10"/>
  </cols>
  <sheetData>
    <row r="1" spans="1:7" ht="18" customHeight="1">
      <c r="A1" s="82" t="s">
        <v>816</v>
      </c>
      <c r="B1" s="83"/>
      <c r="C1" s="83"/>
      <c r="D1" s="84"/>
      <c r="E1" s="24"/>
      <c r="F1" s="24"/>
      <c r="G1" s="83"/>
    </row>
    <row r="2" spans="1:7" ht="18" customHeight="1">
      <c r="A2" s="1104" t="s">
        <v>831</v>
      </c>
      <c r="B2" s="1104"/>
      <c r="C2" s="1104" t="s">
        <v>1265</v>
      </c>
      <c r="D2" s="1104" t="s">
        <v>1266</v>
      </c>
      <c r="E2" s="1104" t="s">
        <v>1011</v>
      </c>
      <c r="F2" s="1104" t="s">
        <v>1267</v>
      </c>
      <c r="G2" s="1104" t="s">
        <v>1288</v>
      </c>
    </row>
    <row r="3" spans="1:7" ht="18" customHeight="1">
      <c r="A3" s="592" t="s">
        <v>1009</v>
      </c>
      <c r="B3" s="592" t="s">
        <v>1010</v>
      </c>
      <c r="C3" s="1104"/>
      <c r="D3" s="1104"/>
      <c r="E3" s="1104"/>
      <c r="F3" s="1104"/>
      <c r="G3" s="1104"/>
    </row>
    <row r="4" spans="1:7" ht="13.5" customHeight="1">
      <c r="A4" s="67" t="s">
        <v>788</v>
      </c>
      <c r="B4" s="67" t="s">
        <v>817</v>
      </c>
      <c r="C4" s="67" t="s">
        <v>2101</v>
      </c>
      <c r="D4" s="1">
        <v>1</v>
      </c>
      <c r="E4" s="1" t="s">
        <v>1014</v>
      </c>
      <c r="F4" s="482">
        <v>173652</v>
      </c>
      <c r="G4" s="67" t="s">
        <v>2551</v>
      </c>
    </row>
    <row r="5" spans="1:7" ht="13.5" customHeight="1">
      <c r="A5" s="67"/>
      <c r="B5" s="67" t="s">
        <v>818</v>
      </c>
      <c r="C5" s="67" t="s">
        <v>832</v>
      </c>
      <c r="D5" s="1">
        <v>1</v>
      </c>
      <c r="E5" s="1" t="s">
        <v>1015</v>
      </c>
      <c r="F5" s="483">
        <v>6346</v>
      </c>
      <c r="G5" s="67" t="s">
        <v>2551</v>
      </c>
    </row>
    <row r="6" spans="1:7" ht="13.5" customHeight="1">
      <c r="A6" s="67"/>
      <c r="B6" s="67" t="s">
        <v>818</v>
      </c>
      <c r="C6" s="67" t="s">
        <v>833</v>
      </c>
      <c r="D6" s="1">
        <v>1</v>
      </c>
      <c r="E6" s="1" t="s">
        <v>1015</v>
      </c>
      <c r="F6" s="483">
        <v>9517</v>
      </c>
      <c r="G6" s="67" t="s">
        <v>2551</v>
      </c>
    </row>
    <row r="7" spans="1:7" ht="13.5" customHeight="1">
      <c r="A7" s="67"/>
      <c r="B7" s="67" t="s">
        <v>834</v>
      </c>
      <c r="C7" s="67" t="s">
        <v>835</v>
      </c>
      <c r="D7" s="1">
        <v>1</v>
      </c>
      <c r="E7" s="1" t="s">
        <v>1014</v>
      </c>
      <c r="F7" s="482">
        <v>439299</v>
      </c>
      <c r="G7" s="67" t="s">
        <v>2551</v>
      </c>
    </row>
    <row r="8" spans="1:7" ht="13.5" customHeight="1">
      <c r="A8" s="67"/>
      <c r="B8" s="67" t="s">
        <v>834</v>
      </c>
      <c r="C8" s="67" t="s">
        <v>836</v>
      </c>
      <c r="D8" s="1">
        <v>1</v>
      </c>
      <c r="E8" s="1" t="s">
        <v>1014</v>
      </c>
      <c r="F8" s="482">
        <v>426000</v>
      </c>
      <c r="G8" s="67" t="s">
        <v>2551</v>
      </c>
    </row>
    <row r="9" spans="1:7" ht="13.5" customHeight="1">
      <c r="A9" s="67"/>
      <c r="B9" s="67" t="s">
        <v>834</v>
      </c>
      <c r="C9" s="67" t="s">
        <v>837</v>
      </c>
      <c r="D9" s="1">
        <v>1</v>
      </c>
      <c r="E9" s="1" t="s">
        <v>1014</v>
      </c>
      <c r="F9" s="482">
        <v>1026000</v>
      </c>
      <c r="G9" s="67" t="s">
        <v>2551</v>
      </c>
    </row>
    <row r="10" spans="1:7" ht="13.5" customHeight="1">
      <c r="A10" s="67"/>
      <c r="B10" s="67" t="s">
        <v>838</v>
      </c>
      <c r="C10" s="67" t="s">
        <v>839</v>
      </c>
      <c r="D10" s="1">
        <v>1</v>
      </c>
      <c r="E10" s="1" t="s">
        <v>1014</v>
      </c>
      <c r="F10" s="482">
        <v>483803</v>
      </c>
      <c r="G10" s="67" t="s">
        <v>2551</v>
      </c>
    </row>
    <row r="11" spans="1:7" ht="13.5" customHeight="1">
      <c r="A11" s="67"/>
      <c r="B11" s="67" t="s">
        <v>838</v>
      </c>
      <c r="C11" s="67" t="s">
        <v>840</v>
      </c>
      <c r="D11" s="1">
        <v>1</v>
      </c>
      <c r="E11" s="1" t="s">
        <v>1014</v>
      </c>
      <c r="F11" s="482">
        <v>462000</v>
      </c>
      <c r="G11" s="67" t="s">
        <v>2551</v>
      </c>
    </row>
    <row r="12" spans="1:7" ht="13.5" customHeight="1">
      <c r="A12" s="67"/>
      <c r="B12" s="67" t="s">
        <v>838</v>
      </c>
      <c r="C12" s="67" t="s">
        <v>841</v>
      </c>
      <c r="D12" s="1">
        <v>1</v>
      </c>
      <c r="E12" s="1" t="s">
        <v>1014</v>
      </c>
      <c r="F12" s="482">
        <v>1080000</v>
      </c>
      <c r="G12" s="67" t="s">
        <v>2551</v>
      </c>
    </row>
    <row r="13" spans="1:7" ht="13.5" customHeight="1">
      <c r="A13" s="67"/>
      <c r="B13" s="67" t="s">
        <v>1234</v>
      </c>
      <c r="C13" s="67" t="s">
        <v>842</v>
      </c>
      <c r="D13" s="1">
        <v>1</v>
      </c>
      <c r="E13" s="1" t="s">
        <v>1752</v>
      </c>
      <c r="F13" s="482">
        <v>72960</v>
      </c>
      <c r="G13" s="67" t="s">
        <v>2551</v>
      </c>
    </row>
    <row r="14" spans="1:7" ht="13.5" customHeight="1">
      <c r="A14" s="67"/>
      <c r="B14" s="67" t="s">
        <v>843</v>
      </c>
      <c r="C14" s="67"/>
      <c r="D14" s="1">
        <v>1</v>
      </c>
      <c r="E14" s="1" t="s">
        <v>1015</v>
      </c>
      <c r="F14" s="484">
        <v>9</v>
      </c>
      <c r="G14" s="67" t="s">
        <v>2551</v>
      </c>
    </row>
    <row r="15" spans="1:7" ht="13.5" customHeight="1">
      <c r="A15" s="67"/>
      <c r="B15" s="67" t="s">
        <v>844</v>
      </c>
      <c r="C15" s="67" t="s">
        <v>845</v>
      </c>
      <c r="D15" s="1">
        <v>1</v>
      </c>
      <c r="E15" s="1" t="s">
        <v>1016</v>
      </c>
      <c r="F15" s="482">
        <v>2532</v>
      </c>
      <c r="G15" s="67" t="s">
        <v>2551</v>
      </c>
    </row>
    <row r="16" spans="1:7" ht="13.5" customHeight="1">
      <c r="A16" s="67"/>
      <c r="B16" s="67" t="s">
        <v>844</v>
      </c>
      <c r="C16" s="67" t="s">
        <v>846</v>
      </c>
      <c r="D16" s="1">
        <v>1</v>
      </c>
      <c r="E16" s="1" t="s">
        <v>1016</v>
      </c>
      <c r="F16" s="482">
        <v>8193</v>
      </c>
      <c r="G16" s="67" t="s">
        <v>2551</v>
      </c>
    </row>
    <row r="17" spans="1:7" ht="13.5" customHeight="1">
      <c r="A17" s="67"/>
      <c r="B17" s="67" t="s">
        <v>847</v>
      </c>
      <c r="C17" s="67" t="s">
        <v>848</v>
      </c>
      <c r="D17" s="1">
        <v>1</v>
      </c>
      <c r="E17" s="1" t="s">
        <v>1753</v>
      </c>
      <c r="F17" s="482">
        <v>10800</v>
      </c>
      <c r="G17" s="67" t="s">
        <v>2102</v>
      </c>
    </row>
    <row r="18" spans="1:7" ht="13.5" customHeight="1">
      <c r="A18" s="67" t="s">
        <v>850</v>
      </c>
      <c r="B18" s="67" t="s">
        <v>1145</v>
      </c>
      <c r="C18" s="67" t="s">
        <v>851</v>
      </c>
      <c r="D18" s="1">
        <v>1</v>
      </c>
      <c r="E18" s="1" t="s">
        <v>636</v>
      </c>
      <c r="F18" s="679">
        <v>1695.23</v>
      </c>
      <c r="G18" s="67" t="s">
        <v>2552</v>
      </c>
    </row>
    <row r="19" spans="1:7" ht="13.5" customHeight="1">
      <c r="A19" s="67"/>
      <c r="B19" s="67" t="s">
        <v>852</v>
      </c>
      <c r="C19" s="67" t="s">
        <v>853</v>
      </c>
      <c r="D19" s="1">
        <v>1</v>
      </c>
      <c r="E19" s="1" t="s">
        <v>636</v>
      </c>
      <c r="F19" s="679">
        <v>1528.38</v>
      </c>
      <c r="G19" s="67" t="s">
        <v>2552</v>
      </c>
    </row>
    <row r="20" spans="1:7" ht="13.5" customHeight="1">
      <c r="A20" s="67"/>
      <c r="B20" s="67" t="s">
        <v>854</v>
      </c>
      <c r="C20" s="67" t="s">
        <v>855</v>
      </c>
      <c r="D20" s="1">
        <v>1</v>
      </c>
      <c r="E20" s="1" t="s">
        <v>636</v>
      </c>
      <c r="F20" s="679">
        <v>950</v>
      </c>
      <c r="G20" s="67" t="s">
        <v>2552</v>
      </c>
    </row>
    <row r="21" spans="1:7" ht="13.5" customHeight="1">
      <c r="A21" s="67"/>
      <c r="B21" s="67" t="s">
        <v>856</v>
      </c>
      <c r="C21" s="67" t="s">
        <v>857</v>
      </c>
      <c r="D21" s="1">
        <v>1</v>
      </c>
      <c r="E21" s="1" t="s">
        <v>1752</v>
      </c>
      <c r="F21" s="660">
        <v>1470</v>
      </c>
      <c r="G21" s="67" t="s">
        <v>2551</v>
      </c>
    </row>
    <row r="22" spans="1:7" ht="13.5" customHeight="1">
      <c r="A22" s="67"/>
      <c r="B22" s="67" t="s">
        <v>858</v>
      </c>
      <c r="C22" s="67" t="s">
        <v>859</v>
      </c>
      <c r="D22" s="1">
        <v>1</v>
      </c>
      <c r="E22" s="1" t="s">
        <v>1754</v>
      </c>
      <c r="F22" s="660">
        <v>2770</v>
      </c>
      <c r="G22" s="67" t="s">
        <v>2551</v>
      </c>
    </row>
    <row r="23" spans="1:7" ht="13.5" customHeight="1">
      <c r="A23" s="67"/>
      <c r="B23" s="67" t="s">
        <v>1320</v>
      </c>
      <c r="C23" s="67" t="s">
        <v>860</v>
      </c>
      <c r="D23" s="1">
        <v>1</v>
      </c>
      <c r="E23" s="1" t="s">
        <v>1754</v>
      </c>
      <c r="F23" s="482">
        <v>9500</v>
      </c>
      <c r="G23" s="67" t="s">
        <v>2551</v>
      </c>
    </row>
    <row r="24" spans="1:7" ht="13.5" customHeight="1">
      <c r="A24" s="67"/>
      <c r="B24" s="67" t="s">
        <v>1371</v>
      </c>
      <c r="C24" s="67" t="s">
        <v>861</v>
      </c>
      <c r="D24" s="1">
        <v>1</v>
      </c>
      <c r="E24" s="1" t="s">
        <v>1755</v>
      </c>
      <c r="F24" s="482">
        <v>10000</v>
      </c>
      <c r="G24" s="67" t="s">
        <v>2551</v>
      </c>
    </row>
    <row r="25" spans="1:7" ht="13.5" customHeight="1">
      <c r="A25" s="67"/>
      <c r="B25" s="67" t="s">
        <v>863</v>
      </c>
      <c r="C25" s="67" t="s">
        <v>864</v>
      </c>
      <c r="D25" s="1">
        <v>1</v>
      </c>
      <c r="E25" s="1" t="s">
        <v>1754</v>
      </c>
      <c r="F25" s="482">
        <v>5267</v>
      </c>
      <c r="G25" s="67" t="s">
        <v>2551</v>
      </c>
    </row>
    <row r="26" spans="1:7" ht="13.5" customHeight="1">
      <c r="A26" s="67"/>
      <c r="B26" s="67" t="s">
        <v>865</v>
      </c>
      <c r="C26" s="67" t="s">
        <v>864</v>
      </c>
      <c r="D26" s="1">
        <v>1</v>
      </c>
      <c r="E26" s="1" t="s">
        <v>1754</v>
      </c>
      <c r="F26" s="482">
        <v>3600</v>
      </c>
      <c r="G26" s="67" t="s">
        <v>2551</v>
      </c>
    </row>
    <row r="27" spans="1:7" ht="13.5" customHeight="1">
      <c r="A27" s="67"/>
      <c r="B27" s="67" t="s">
        <v>866</v>
      </c>
      <c r="C27" s="67" t="s">
        <v>864</v>
      </c>
      <c r="D27" s="1">
        <v>1</v>
      </c>
      <c r="E27" s="1" t="s">
        <v>1754</v>
      </c>
      <c r="F27" s="482">
        <v>9361</v>
      </c>
      <c r="G27" s="67" t="s">
        <v>2551</v>
      </c>
    </row>
    <row r="28" spans="1:7" ht="13.5" customHeight="1">
      <c r="A28" s="67"/>
      <c r="B28" s="67" t="s">
        <v>867</v>
      </c>
      <c r="C28" s="67" t="s">
        <v>868</v>
      </c>
      <c r="D28" s="1">
        <v>1</v>
      </c>
      <c r="E28" s="1" t="s">
        <v>1756</v>
      </c>
      <c r="F28" s="482">
        <v>3500</v>
      </c>
      <c r="G28" s="67" t="s">
        <v>2551</v>
      </c>
    </row>
    <row r="29" spans="1:7" ht="13.5" customHeight="1">
      <c r="A29" s="67"/>
      <c r="B29" s="67" t="s">
        <v>869</v>
      </c>
      <c r="C29" s="67" t="s">
        <v>870</v>
      </c>
      <c r="D29" s="1">
        <v>1</v>
      </c>
      <c r="E29" s="1" t="s">
        <v>1757</v>
      </c>
      <c r="F29" s="482">
        <v>7733</v>
      </c>
      <c r="G29" s="67" t="s">
        <v>2551</v>
      </c>
    </row>
    <row r="30" spans="1:7" ht="13.5" customHeight="1">
      <c r="A30" s="67"/>
      <c r="B30" s="67" t="s">
        <v>871</v>
      </c>
      <c r="C30" s="67" t="s">
        <v>872</v>
      </c>
      <c r="D30" s="1">
        <v>1</v>
      </c>
      <c r="E30" s="1" t="s">
        <v>1757</v>
      </c>
      <c r="F30" s="482">
        <v>7400</v>
      </c>
      <c r="G30" s="67" t="s">
        <v>2551</v>
      </c>
    </row>
    <row r="31" spans="1:7" ht="13.5" customHeight="1">
      <c r="A31" s="67"/>
      <c r="B31" s="67" t="s">
        <v>873</v>
      </c>
      <c r="C31" s="67" t="s">
        <v>874</v>
      </c>
      <c r="D31" s="1">
        <v>1</v>
      </c>
      <c r="E31" s="1" t="s">
        <v>1754</v>
      </c>
      <c r="F31" s="482">
        <v>20746</v>
      </c>
      <c r="G31" s="67" t="s">
        <v>2551</v>
      </c>
    </row>
    <row r="32" spans="1:7" ht="13.5" customHeight="1">
      <c r="A32" s="67"/>
      <c r="B32" s="67" t="s">
        <v>875</v>
      </c>
      <c r="C32" s="67" t="s">
        <v>876</v>
      </c>
      <c r="D32" s="1">
        <v>1</v>
      </c>
      <c r="E32" s="1" t="s">
        <v>636</v>
      </c>
      <c r="F32" s="482">
        <v>2000</v>
      </c>
      <c r="G32" s="67" t="s">
        <v>2551</v>
      </c>
    </row>
    <row r="33" spans="1:7" ht="13.5" customHeight="1">
      <c r="A33" s="67"/>
      <c r="B33" s="67" t="s">
        <v>877</v>
      </c>
      <c r="C33" s="67" t="s">
        <v>878</v>
      </c>
      <c r="D33" s="1">
        <v>1</v>
      </c>
      <c r="E33" s="1" t="s">
        <v>612</v>
      </c>
      <c r="F33" s="483">
        <v>189000</v>
      </c>
      <c r="G33" s="67" t="s">
        <v>2551</v>
      </c>
    </row>
    <row r="34" spans="1:7" ht="13.5" customHeight="1">
      <c r="A34" s="67"/>
      <c r="B34" s="67" t="s">
        <v>877</v>
      </c>
      <c r="C34" s="67" t="s">
        <v>879</v>
      </c>
      <c r="D34" s="1">
        <v>1</v>
      </c>
      <c r="E34" s="1" t="s">
        <v>612</v>
      </c>
      <c r="F34" s="483">
        <v>200000</v>
      </c>
      <c r="G34" s="67" t="s">
        <v>2551</v>
      </c>
    </row>
    <row r="35" spans="1:7" ht="13.5" customHeight="1">
      <c r="A35" s="67"/>
      <c r="B35" s="67" t="s">
        <v>533</v>
      </c>
      <c r="C35" s="67" t="s">
        <v>880</v>
      </c>
      <c r="D35" s="1">
        <v>1</v>
      </c>
      <c r="E35" s="1" t="s">
        <v>636</v>
      </c>
      <c r="F35" s="482">
        <v>1300</v>
      </c>
      <c r="G35" s="67" t="s">
        <v>2551</v>
      </c>
    </row>
    <row r="36" spans="1:7" ht="13.5" customHeight="1">
      <c r="A36" s="67"/>
      <c r="B36" s="67" t="s">
        <v>821</v>
      </c>
      <c r="C36" s="67" t="s">
        <v>822</v>
      </c>
      <c r="D36" s="1">
        <v>1</v>
      </c>
      <c r="E36" s="1" t="s">
        <v>636</v>
      </c>
      <c r="F36" s="482">
        <v>1778</v>
      </c>
      <c r="G36" s="67" t="s">
        <v>2551</v>
      </c>
    </row>
    <row r="37" spans="1:7" ht="13.5" customHeight="1">
      <c r="A37" s="67"/>
      <c r="B37" s="67" t="s">
        <v>532</v>
      </c>
      <c r="C37" s="67" t="s">
        <v>881</v>
      </c>
      <c r="D37" s="1">
        <v>1</v>
      </c>
      <c r="E37" s="1" t="s">
        <v>636</v>
      </c>
      <c r="F37" s="482">
        <v>3518</v>
      </c>
      <c r="G37" s="67" t="s">
        <v>2551</v>
      </c>
    </row>
    <row r="38" spans="1:7" ht="13.5" customHeight="1">
      <c r="A38" s="67"/>
      <c r="B38" s="67" t="s">
        <v>882</v>
      </c>
      <c r="C38" s="67" t="s">
        <v>883</v>
      </c>
      <c r="D38" s="1">
        <v>1</v>
      </c>
      <c r="E38" s="1" t="s">
        <v>1022</v>
      </c>
      <c r="F38" s="482">
        <v>200</v>
      </c>
      <c r="G38" s="67" t="s">
        <v>2551</v>
      </c>
    </row>
    <row r="39" spans="1:7" ht="13.5" customHeight="1">
      <c r="A39" s="67"/>
      <c r="B39" s="67" t="s">
        <v>884</v>
      </c>
      <c r="C39" s="67" t="s">
        <v>823</v>
      </c>
      <c r="D39" s="1">
        <v>1</v>
      </c>
      <c r="E39" s="1" t="s">
        <v>636</v>
      </c>
      <c r="F39" s="482">
        <v>4937</v>
      </c>
      <c r="G39" s="67" t="s">
        <v>2551</v>
      </c>
    </row>
    <row r="40" spans="1:7" ht="13.5" customHeight="1">
      <c r="A40" s="67"/>
      <c r="B40" s="67" t="s">
        <v>885</v>
      </c>
      <c r="C40" s="67" t="s">
        <v>824</v>
      </c>
      <c r="D40" s="1">
        <v>1</v>
      </c>
      <c r="E40" s="1" t="s">
        <v>636</v>
      </c>
      <c r="F40" s="482">
        <v>3430</v>
      </c>
      <c r="G40" s="67" t="s">
        <v>2551</v>
      </c>
    </row>
    <row r="41" spans="1:7" ht="13.5" customHeight="1">
      <c r="A41" s="67"/>
      <c r="B41" s="67" t="s">
        <v>886</v>
      </c>
      <c r="C41" s="67" t="s">
        <v>825</v>
      </c>
      <c r="D41" s="1">
        <v>1</v>
      </c>
      <c r="E41" s="1" t="s">
        <v>636</v>
      </c>
      <c r="F41" s="482">
        <v>7400</v>
      </c>
      <c r="G41" s="67" t="s">
        <v>2551</v>
      </c>
    </row>
    <row r="42" spans="1:7" ht="13.5" customHeight="1">
      <c r="A42" s="67"/>
      <c r="B42" s="67" t="s">
        <v>886</v>
      </c>
      <c r="C42" s="67" t="s">
        <v>826</v>
      </c>
      <c r="D42" s="1">
        <v>1</v>
      </c>
      <c r="E42" s="1" t="s">
        <v>636</v>
      </c>
      <c r="F42" s="482">
        <v>5780</v>
      </c>
      <c r="G42" s="67" t="s">
        <v>2551</v>
      </c>
    </row>
    <row r="43" spans="1:7" ht="13.5" customHeight="1">
      <c r="A43" s="67"/>
      <c r="B43" s="67" t="s">
        <v>886</v>
      </c>
      <c r="C43" s="67" t="s">
        <v>827</v>
      </c>
      <c r="D43" s="1">
        <v>1</v>
      </c>
      <c r="E43" s="1" t="s">
        <v>636</v>
      </c>
      <c r="F43" s="482">
        <v>7400</v>
      </c>
      <c r="G43" s="67" t="s">
        <v>2551</v>
      </c>
    </row>
    <row r="44" spans="1:7" ht="13.5" customHeight="1">
      <c r="A44" s="67"/>
      <c r="B44" s="67" t="s">
        <v>887</v>
      </c>
      <c r="C44" s="67" t="s">
        <v>828</v>
      </c>
      <c r="D44" s="1">
        <v>1</v>
      </c>
      <c r="E44" s="1" t="s">
        <v>636</v>
      </c>
      <c r="F44" s="482">
        <v>4555</v>
      </c>
      <c r="G44" s="67" t="s">
        <v>2551</v>
      </c>
    </row>
    <row r="45" spans="1:7" ht="13.5" customHeight="1">
      <c r="A45" s="67"/>
      <c r="B45" s="67" t="s">
        <v>888</v>
      </c>
      <c r="C45" s="67" t="s">
        <v>889</v>
      </c>
      <c r="D45" s="1">
        <v>1</v>
      </c>
      <c r="E45" s="1" t="s">
        <v>636</v>
      </c>
      <c r="F45" s="482">
        <v>250</v>
      </c>
      <c r="G45" s="67" t="s">
        <v>2551</v>
      </c>
    </row>
    <row r="46" spans="1:7" ht="13.5" customHeight="1">
      <c r="A46" s="67"/>
      <c r="B46" s="67" t="s">
        <v>890</v>
      </c>
      <c r="C46" s="67" t="s">
        <v>829</v>
      </c>
      <c r="D46" s="1">
        <v>1</v>
      </c>
      <c r="E46" s="1" t="s">
        <v>636</v>
      </c>
      <c r="F46" s="482">
        <v>3000</v>
      </c>
      <c r="G46" s="67" t="s">
        <v>2551</v>
      </c>
    </row>
    <row r="47" spans="1:7" ht="13.5" customHeight="1">
      <c r="A47" s="67"/>
      <c r="B47" s="67" t="s">
        <v>891</v>
      </c>
      <c r="C47" s="67" t="s">
        <v>892</v>
      </c>
      <c r="D47" s="1">
        <v>1</v>
      </c>
      <c r="E47" s="1" t="s">
        <v>1754</v>
      </c>
      <c r="F47" s="482">
        <v>965</v>
      </c>
      <c r="G47" s="67" t="s">
        <v>2551</v>
      </c>
    </row>
    <row r="48" spans="1:7" ht="13.5" customHeight="1">
      <c r="A48" s="67"/>
      <c r="B48" s="67" t="s">
        <v>893</v>
      </c>
      <c r="C48" s="67" t="s">
        <v>830</v>
      </c>
      <c r="D48" s="1">
        <v>1</v>
      </c>
      <c r="E48" s="1" t="s">
        <v>1022</v>
      </c>
      <c r="F48" s="482">
        <v>3543</v>
      </c>
      <c r="G48" s="67" t="s">
        <v>2551</v>
      </c>
    </row>
    <row r="49" spans="1:7" ht="13.5" customHeight="1">
      <c r="A49" s="67"/>
      <c r="B49" s="67" t="s">
        <v>893</v>
      </c>
      <c r="C49" s="67" t="s">
        <v>894</v>
      </c>
      <c r="D49" s="1">
        <v>1</v>
      </c>
      <c r="E49" s="1" t="s">
        <v>1022</v>
      </c>
      <c r="F49" s="482">
        <v>5324</v>
      </c>
      <c r="G49" s="67" t="s">
        <v>2551</v>
      </c>
    </row>
    <row r="50" spans="1:7" ht="13.5" customHeight="1">
      <c r="A50" s="67"/>
      <c r="B50" s="67" t="s">
        <v>220</v>
      </c>
      <c r="C50" s="67" t="s">
        <v>1160</v>
      </c>
      <c r="D50" s="1">
        <v>1</v>
      </c>
      <c r="E50" s="1" t="s">
        <v>1758</v>
      </c>
      <c r="F50" s="483">
        <v>54509</v>
      </c>
      <c r="G50" s="67" t="s">
        <v>2220</v>
      </c>
    </row>
    <row r="51" spans="1:7" ht="13.5" customHeight="1">
      <c r="A51" s="67"/>
      <c r="B51" s="67" t="s">
        <v>220</v>
      </c>
      <c r="C51" s="67" t="s">
        <v>1161</v>
      </c>
      <c r="D51" s="1">
        <v>1</v>
      </c>
      <c r="E51" s="1" t="s">
        <v>1758</v>
      </c>
      <c r="F51" s="483">
        <v>65009</v>
      </c>
      <c r="G51" s="67" t="s">
        <v>2221</v>
      </c>
    </row>
    <row r="52" spans="1:7" ht="13.5" customHeight="1">
      <c r="A52" s="67" t="s">
        <v>221</v>
      </c>
      <c r="B52" s="67" t="s">
        <v>637</v>
      </c>
      <c r="C52" s="67" t="s">
        <v>222</v>
      </c>
      <c r="D52" s="1">
        <v>1</v>
      </c>
      <c r="E52" s="1" t="s">
        <v>1019</v>
      </c>
      <c r="F52" s="482">
        <v>2400</v>
      </c>
      <c r="G52" s="67" t="s">
        <v>2551</v>
      </c>
    </row>
    <row r="53" spans="1:7" ht="13.5" customHeight="1">
      <c r="A53" s="67"/>
      <c r="B53" s="67" t="s">
        <v>637</v>
      </c>
      <c r="C53" s="67" t="s">
        <v>223</v>
      </c>
      <c r="D53" s="1">
        <v>1</v>
      </c>
      <c r="E53" s="1" t="s">
        <v>1019</v>
      </c>
      <c r="F53" s="482">
        <v>3300</v>
      </c>
      <c r="G53" s="67" t="s">
        <v>2551</v>
      </c>
    </row>
    <row r="54" spans="1:7" ht="13.5" customHeight="1">
      <c r="A54" s="67"/>
      <c r="B54" s="67" t="s">
        <v>224</v>
      </c>
      <c r="C54" s="67" t="s">
        <v>225</v>
      </c>
      <c r="D54" s="1">
        <v>1</v>
      </c>
      <c r="E54" s="1" t="s">
        <v>1019</v>
      </c>
      <c r="F54" s="482">
        <v>1700</v>
      </c>
      <c r="G54" s="67" t="s">
        <v>2551</v>
      </c>
    </row>
    <row r="55" spans="1:7" ht="13.5" customHeight="1">
      <c r="A55" s="67"/>
      <c r="B55" s="67" t="s">
        <v>226</v>
      </c>
      <c r="C55" s="67" t="s">
        <v>227</v>
      </c>
      <c r="D55" s="1">
        <v>1</v>
      </c>
      <c r="E55" s="1" t="s">
        <v>1019</v>
      </c>
      <c r="F55" s="482">
        <v>889</v>
      </c>
      <c r="G55" s="67" t="s">
        <v>2551</v>
      </c>
    </row>
    <row r="56" spans="1:7" ht="13.5" customHeight="1">
      <c r="A56" s="67"/>
      <c r="B56" s="67" t="s">
        <v>226</v>
      </c>
      <c r="C56" s="67" t="s">
        <v>228</v>
      </c>
      <c r="D56" s="1">
        <v>1</v>
      </c>
      <c r="E56" s="1" t="s">
        <v>1019</v>
      </c>
      <c r="F56" s="482">
        <v>1882</v>
      </c>
      <c r="G56" s="67" t="s">
        <v>2551</v>
      </c>
    </row>
    <row r="57" spans="1:7" ht="13.5" customHeight="1">
      <c r="A57" s="67"/>
      <c r="B57" s="67" t="s">
        <v>226</v>
      </c>
      <c r="C57" s="67" t="s">
        <v>2457</v>
      </c>
      <c r="D57" s="1">
        <v>1</v>
      </c>
      <c r="E57" s="1" t="s">
        <v>1019</v>
      </c>
      <c r="F57" s="482">
        <v>12275</v>
      </c>
      <c r="G57" s="67" t="s">
        <v>2551</v>
      </c>
    </row>
    <row r="58" spans="1:7" ht="13.5" customHeight="1">
      <c r="A58" s="67"/>
      <c r="B58" s="67" t="s">
        <v>229</v>
      </c>
      <c r="C58" s="67" t="s">
        <v>230</v>
      </c>
      <c r="D58" s="1">
        <v>1</v>
      </c>
      <c r="E58" s="1" t="s">
        <v>1016</v>
      </c>
      <c r="F58" s="482">
        <v>6806</v>
      </c>
      <c r="G58" s="67" t="s">
        <v>2551</v>
      </c>
    </row>
    <row r="59" spans="1:7" ht="13.5" customHeight="1">
      <c r="A59" s="67"/>
      <c r="B59" s="67" t="s">
        <v>229</v>
      </c>
      <c r="C59" s="67" t="s">
        <v>231</v>
      </c>
      <c r="D59" s="1">
        <v>1</v>
      </c>
      <c r="E59" s="1" t="s">
        <v>1016</v>
      </c>
      <c r="F59" s="482">
        <v>8400</v>
      </c>
      <c r="G59" s="67" t="s">
        <v>2551</v>
      </c>
    </row>
    <row r="60" spans="1:7" ht="13.5" customHeight="1">
      <c r="A60" s="67"/>
      <c r="B60" s="67" t="s">
        <v>229</v>
      </c>
      <c r="C60" s="67" t="s">
        <v>232</v>
      </c>
      <c r="D60" s="1">
        <v>1</v>
      </c>
      <c r="E60" s="1" t="s">
        <v>1016</v>
      </c>
      <c r="F60" s="482">
        <v>13000</v>
      </c>
      <c r="G60" s="67" t="s">
        <v>2551</v>
      </c>
    </row>
    <row r="61" spans="1:7" ht="13.5" customHeight="1">
      <c r="A61" s="67"/>
      <c r="B61" s="67" t="s">
        <v>229</v>
      </c>
      <c r="C61" s="67" t="s">
        <v>233</v>
      </c>
      <c r="D61" s="1">
        <v>1</v>
      </c>
      <c r="E61" s="1" t="s">
        <v>1754</v>
      </c>
      <c r="F61" s="482">
        <v>3512</v>
      </c>
      <c r="G61" s="67" t="s">
        <v>2551</v>
      </c>
    </row>
    <row r="62" spans="1:7" ht="13.5" customHeight="1">
      <c r="A62" s="67"/>
      <c r="B62" s="67" t="s">
        <v>229</v>
      </c>
      <c r="C62" s="67" t="s">
        <v>234</v>
      </c>
      <c r="D62" s="1">
        <v>1</v>
      </c>
      <c r="E62" s="1" t="s">
        <v>1754</v>
      </c>
      <c r="F62" s="482">
        <v>3750</v>
      </c>
      <c r="G62" s="67" t="s">
        <v>2551</v>
      </c>
    </row>
    <row r="63" spans="1:7" ht="13.5" customHeight="1">
      <c r="A63" s="67"/>
      <c r="B63" s="67" t="s">
        <v>235</v>
      </c>
      <c r="C63" s="67" t="s">
        <v>236</v>
      </c>
      <c r="D63" s="1">
        <v>1</v>
      </c>
      <c r="E63" s="1" t="s">
        <v>1756</v>
      </c>
      <c r="F63" s="482">
        <v>53</v>
      </c>
      <c r="G63" s="67" t="s">
        <v>2551</v>
      </c>
    </row>
    <row r="64" spans="1:7" ht="13.5" customHeight="1">
      <c r="A64" s="67"/>
      <c r="B64" s="67" t="s">
        <v>237</v>
      </c>
      <c r="C64" s="67" t="s">
        <v>238</v>
      </c>
      <c r="D64" s="1">
        <v>1</v>
      </c>
      <c r="E64" s="1" t="s">
        <v>1017</v>
      </c>
      <c r="F64" s="482">
        <v>46420</v>
      </c>
      <c r="G64" s="67" t="s">
        <v>2551</v>
      </c>
    </row>
    <row r="65" spans="1:7" ht="13.5" customHeight="1">
      <c r="A65" s="67"/>
      <c r="B65" s="67" t="s">
        <v>237</v>
      </c>
      <c r="C65" s="67" t="s">
        <v>239</v>
      </c>
      <c r="D65" s="1">
        <v>1</v>
      </c>
      <c r="E65" s="1" t="s">
        <v>1017</v>
      </c>
      <c r="F65" s="482">
        <v>113880</v>
      </c>
      <c r="G65" s="67" t="s">
        <v>2551</v>
      </c>
    </row>
    <row r="66" spans="1:7" ht="13.5" customHeight="1">
      <c r="A66" s="67"/>
      <c r="B66" s="67" t="s">
        <v>240</v>
      </c>
      <c r="C66" s="67" t="s">
        <v>241</v>
      </c>
      <c r="D66" s="1">
        <v>1</v>
      </c>
      <c r="E66" s="1" t="s">
        <v>1019</v>
      </c>
      <c r="F66" s="482">
        <v>7390</v>
      </c>
      <c r="G66" s="67" t="s">
        <v>2551</v>
      </c>
    </row>
    <row r="67" spans="1:7" ht="13.5" customHeight="1">
      <c r="A67" s="67"/>
      <c r="B67" s="67" t="s">
        <v>240</v>
      </c>
      <c r="C67" s="67" t="s">
        <v>242</v>
      </c>
      <c r="D67" s="1">
        <v>1</v>
      </c>
      <c r="E67" s="1" t="s">
        <v>1019</v>
      </c>
      <c r="F67" s="482">
        <v>6873</v>
      </c>
      <c r="G67" s="67" t="s">
        <v>2551</v>
      </c>
    </row>
    <row r="68" spans="1:7" ht="13.5" customHeight="1">
      <c r="A68" s="67"/>
      <c r="B68" s="67" t="s">
        <v>240</v>
      </c>
      <c r="C68" s="67" t="s">
        <v>243</v>
      </c>
      <c r="D68" s="1">
        <v>1</v>
      </c>
      <c r="E68" s="1" t="s">
        <v>1019</v>
      </c>
      <c r="F68" s="482">
        <v>5280</v>
      </c>
      <c r="G68" s="67" t="s">
        <v>2551</v>
      </c>
    </row>
    <row r="69" spans="1:7" ht="13.5" customHeight="1">
      <c r="A69" s="67"/>
      <c r="B69" s="67" t="s">
        <v>240</v>
      </c>
      <c r="C69" s="67" t="s">
        <v>2409</v>
      </c>
      <c r="D69" s="1">
        <v>1</v>
      </c>
      <c r="E69" s="1" t="s">
        <v>1019</v>
      </c>
      <c r="F69" s="482">
        <v>8050</v>
      </c>
      <c r="G69" s="67" t="s">
        <v>2551</v>
      </c>
    </row>
    <row r="70" spans="1:7" ht="13.5" customHeight="1">
      <c r="A70" s="67"/>
      <c r="B70" s="67" t="s">
        <v>240</v>
      </c>
      <c r="C70" s="67" t="s">
        <v>2410</v>
      </c>
      <c r="D70" s="1">
        <v>1</v>
      </c>
      <c r="E70" s="1" t="s">
        <v>1019</v>
      </c>
      <c r="F70" s="482">
        <v>23390</v>
      </c>
      <c r="G70" s="67" t="s">
        <v>2551</v>
      </c>
    </row>
    <row r="71" spans="1:7" ht="13.5" customHeight="1">
      <c r="A71" s="67"/>
      <c r="B71" s="67" t="s">
        <v>1367</v>
      </c>
      <c r="C71" s="67" t="s">
        <v>1889</v>
      </c>
      <c r="D71" s="1">
        <v>1</v>
      </c>
      <c r="E71" s="1" t="s">
        <v>1752</v>
      </c>
      <c r="F71" s="483">
        <v>2200</v>
      </c>
      <c r="G71" s="67" t="s">
        <v>2551</v>
      </c>
    </row>
    <row r="72" spans="1:7" ht="13.5" customHeight="1">
      <c r="A72" s="67"/>
      <c r="B72" s="67" t="s">
        <v>1367</v>
      </c>
      <c r="C72" s="67" t="s">
        <v>244</v>
      </c>
      <c r="D72" s="1">
        <v>1</v>
      </c>
      <c r="E72" s="1" t="s">
        <v>1752</v>
      </c>
      <c r="F72" s="483">
        <v>2700</v>
      </c>
      <c r="G72" s="67" t="s">
        <v>2551</v>
      </c>
    </row>
    <row r="73" spans="1:7" ht="13.5" customHeight="1">
      <c r="A73" s="67"/>
      <c r="B73" s="67" t="s">
        <v>1367</v>
      </c>
      <c r="C73" s="67" t="s">
        <v>245</v>
      </c>
      <c r="D73" s="1">
        <v>1</v>
      </c>
      <c r="E73" s="1" t="s">
        <v>1752</v>
      </c>
      <c r="F73" s="483">
        <v>3100</v>
      </c>
      <c r="G73" s="67" t="s">
        <v>2551</v>
      </c>
    </row>
    <row r="74" spans="1:7" ht="13.5" customHeight="1">
      <c r="A74" s="67"/>
      <c r="B74" s="67" t="s">
        <v>1367</v>
      </c>
      <c r="C74" s="67" t="s">
        <v>246</v>
      </c>
      <c r="D74" s="1">
        <v>1</v>
      </c>
      <c r="E74" s="1" t="s">
        <v>1752</v>
      </c>
      <c r="F74" s="483">
        <v>5100</v>
      </c>
      <c r="G74" s="67" t="s">
        <v>2551</v>
      </c>
    </row>
    <row r="75" spans="1:7" ht="13.5" customHeight="1">
      <c r="A75" s="67"/>
      <c r="B75" s="67" t="s">
        <v>1367</v>
      </c>
      <c r="C75" s="67" t="s">
        <v>247</v>
      </c>
      <c r="D75" s="1">
        <v>1</v>
      </c>
      <c r="E75" s="1" t="s">
        <v>1752</v>
      </c>
      <c r="F75" s="483">
        <v>7200</v>
      </c>
      <c r="G75" s="67" t="s">
        <v>2551</v>
      </c>
    </row>
    <row r="76" spans="1:7" ht="13.5" customHeight="1">
      <c r="A76" s="67"/>
      <c r="B76" s="67" t="s">
        <v>248</v>
      </c>
      <c r="C76" s="67" t="s">
        <v>249</v>
      </c>
      <c r="D76" s="1">
        <v>1</v>
      </c>
      <c r="E76" s="1" t="s">
        <v>1759</v>
      </c>
      <c r="F76" s="483">
        <v>1079</v>
      </c>
      <c r="G76" s="67" t="s">
        <v>2551</v>
      </c>
    </row>
    <row r="77" spans="1:7" ht="13.5" customHeight="1">
      <c r="A77" s="67"/>
      <c r="B77" s="67" t="s">
        <v>2136</v>
      </c>
      <c r="C77" s="67" t="s">
        <v>1890</v>
      </c>
      <c r="D77" s="1">
        <v>1</v>
      </c>
      <c r="E77" s="1" t="s">
        <v>1891</v>
      </c>
      <c r="F77" s="70">
        <v>2450</v>
      </c>
      <c r="G77" s="67" t="s">
        <v>1898</v>
      </c>
    </row>
    <row r="78" spans="1:7" ht="13.5" customHeight="1">
      <c r="A78" s="67"/>
      <c r="B78" s="67" t="s">
        <v>2136</v>
      </c>
      <c r="C78" s="67" t="s">
        <v>2137</v>
      </c>
      <c r="D78" s="1">
        <v>1</v>
      </c>
      <c r="E78" s="1" t="s">
        <v>1019</v>
      </c>
      <c r="F78" s="483">
        <v>7120</v>
      </c>
      <c r="G78" s="67" t="s">
        <v>1898</v>
      </c>
    </row>
    <row r="79" spans="1:7" ht="13.5" customHeight="1">
      <c r="A79" s="67"/>
      <c r="B79" s="67" t="s">
        <v>2136</v>
      </c>
      <c r="C79" s="67" t="s">
        <v>2138</v>
      </c>
      <c r="D79" s="1">
        <v>1</v>
      </c>
      <c r="E79" s="1" t="s">
        <v>1019</v>
      </c>
      <c r="F79" s="483">
        <v>14880</v>
      </c>
      <c r="G79" s="67" t="s">
        <v>1898</v>
      </c>
    </row>
    <row r="80" spans="1:7" ht="13.5" customHeight="1">
      <c r="A80" s="67"/>
      <c r="B80" s="67" t="s">
        <v>2136</v>
      </c>
      <c r="C80" s="67" t="s">
        <v>251</v>
      </c>
      <c r="D80" s="1">
        <v>1</v>
      </c>
      <c r="E80" s="1" t="s">
        <v>1019</v>
      </c>
      <c r="F80" s="483">
        <v>23230</v>
      </c>
      <c r="G80" s="67" t="s">
        <v>1898</v>
      </c>
    </row>
    <row r="81" spans="1:7" ht="13.5" customHeight="1">
      <c r="A81" s="67"/>
      <c r="B81" s="67" t="s">
        <v>2136</v>
      </c>
      <c r="C81" s="67" t="s">
        <v>2143</v>
      </c>
      <c r="D81" s="1">
        <v>1</v>
      </c>
      <c r="E81" s="1" t="s">
        <v>1019</v>
      </c>
      <c r="F81" s="483">
        <v>29250</v>
      </c>
      <c r="G81" s="67" t="s">
        <v>1898</v>
      </c>
    </row>
    <row r="82" spans="1:7" ht="13.5" customHeight="1">
      <c r="A82" s="67"/>
      <c r="B82" s="67" t="s">
        <v>2136</v>
      </c>
      <c r="C82" s="67" t="s">
        <v>2139</v>
      </c>
      <c r="D82" s="1">
        <v>1</v>
      </c>
      <c r="E82" s="1" t="s">
        <v>1019</v>
      </c>
      <c r="F82" s="483">
        <v>66620</v>
      </c>
      <c r="G82" s="67" t="s">
        <v>1898</v>
      </c>
    </row>
    <row r="83" spans="1:7" ht="13.5" customHeight="1">
      <c r="A83" s="67"/>
      <c r="B83" s="67" t="s">
        <v>2136</v>
      </c>
      <c r="C83" s="67" t="s">
        <v>252</v>
      </c>
      <c r="D83" s="1">
        <v>1</v>
      </c>
      <c r="E83" s="1" t="s">
        <v>1019</v>
      </c>
      <c r="F83" s="483">
        <v>107000</v>
      </c>
      <c r="G83" s="67" t="s">
        <v>1898</v>
      </c>
    </row>
    <row r="84" spans="1:7" ht="13.5" customHeight="1">
      <c r="A84" s="67"/>
      <c r="B84" s="67" t="s">
        <v>2136</v>
      </c>
      <c r="C84" s="67" t="s">
        <v>253</v>
      </c>
      <c r="D84" s="1">
        <v>1</v>
      </c>
      <c r="E84" s="1" t="s">
        <v>1019</v>
      </c>
      <c r="F84" s="483">
        <v>164770</v>
      </c>
      <c r="G84" s="67" t="s">
        <v>1898</v>
      </c>
    </row>
    <row r="85" spans="1:7" ht="13.5" customHeight="1">
      <c r="A85" s="67"/>
      <c r="B85" s="67" t="s">
        <v>1957</v>
      </c>
      <c r="C85" s="67" t="s">
        <v>1958</v>
      </c>
      <c r="D85" s="1">
        <v>1</v>
      </c>
      <c r="E85" s="1" t="s">
        <v>14</v>
      </c>
      <c r="F85" s="483">
        <v>118300</v>
      </c>
      <c r="G85" s="67" t="s">
        <v>1898</v>
      </c>
    </row>
    <row r="86" spans="1:7" ht="13.5" customHeight="1">
      <c r="A86" s="67"/>
      <c r="B86" s="67" t="s">
        <v>1957</v>
      </c>
      <c r="C86" s="67" t="s">
        <v>1959</v>
      </c>
      <c r="D86" s="1">
        <v>1</v>
      </c>
      <c r="E86" s="1" t="s">
        <v>14</v>
      </c>
      <c r="F86" s="483">
        <v>223800</v>
      </c>
      <c r="G86" s="67" t="s">
        <v>1898</v>
      </c>
    </row>
    <row r="87" spans="1:7" ht="13.5" customHeight="1">
      <c r="A87" s="67"/>
      <c r="B87" s="67" t="s">
        <v>1957</v>
      </c>
      <c r="C87" s="67" t="s">
        <v>1960</v>
      </c>
      <c r="D87" s="1">
        <v>1</v>
      </c>
      <c r="E87" s="1" t="s">
        <v>14</v>
      </c>
      <c r="F87" s="483">
        <v>341300</v>
      </c>
      <c r="G87" s="67" t="s">
        <v>1898</v>
      </c>
    </row>
    <row r="88" spans="1:7" ht="13.5" customHeight="1">
      <c r="A88" s="67"/>
      <c r="B88" s="67" t="s">
        <v>1957</v>
      </c>
      <c r="C88" s="67" t="s">
        <v>1961</v>
      </c>
      <c r="D88" s="1">
        <v>1</v>
      </c>
      <c r="E88" s="1" t="s">
        <v>14</v>
      </c>
      <c r="F88" s="483">
        <v>610900</v>
      </c>
      <c r="G88" s="67" t="s">
        <v>1898</v>
      </c>
    </row>
    <row r="89" spans="1:7" ht="13.5" customHeight="1">
      <c r="A89" s="67"/>
      <c r="B89" s="67" t="s">
        <v>1962</v>
      </c>
      <c r="C89" s="67" t="s">
        <v>1955</v>
      </c>
      <c r="D89" s="1">
        <v>1</v>
      </c>
      <c r="E89" s="1" t="s">
        <v>440</v>
      </c>
      <c r="F89" s="483">
        <v>151990</v>
      </c>
      <c r="G89" s="67" t="s">
        <v>1985</v>
      </c>
    </row>
    <row r="90" spans="1:7" ht="13.5" customHeight="1">
      <c r="A90" s="67"/>
      <c r="B90" s="67" t="s">
        <v>1962</v>
      </c>
      <c r="C90" s="67" t="s">
        <v>1963</v>
      </c>
      <c r="D90" s="1">
        <v>1</v>
      </c>
      <c r="E90" s="1" t="s">
        <v>440</v>
      </c>
      <c r="F90" s="483">
        <v>195480</v>
      </c>
      <c r="G90" s="67" t="s">
        <v>1985</v>
      </c>
    </row>
    <row r="91" spans="1:7" ht="13.5" customHeight="1">
      <c r="A91" s="67"/>
      <c r="B91" s="67" t="s">
        <v>1962</v>
      </c>
      <c r="C91" s="67" t="s">
        <v>1964</v>
      </c>
      <c r="D91" s="1">
        <v>1</v>
      </c>
      <c r="E91" s="1" t="s">
        <v>440</v>
      </c>
      <c r="F91" s="483">
        <v>269420</v>
      </c>
      <c r="G91" s="67" t="s">
        <v>1985</v>
      </c>
    </row>
    <row r="92" spans="1:7" ht="13.5" customHeight="1">
      <c r="A92" s="67"/>
      <c r="B92" s="67" t="s">
        <v>1962</v>
      </c>
      <c r="C92" s="67" t="s">
        <v>1965</v>
      </c>
      <c r="D92" s="1">
        <v>1</v>
      </c>
      <c r="E92" s="1" t="s">
        <v>440</v>
      </c>
      <c r="F92" s="483">
        <v>559300</v>
      </c>
      <c r="G92" s="67" t="s">
        <v>1985</v>
      </c>
    </row>
    <row r="93" spans="1:7" ht="13.5" customHeight="1">
      <c r="A93" s="67"/>
      <c r="B93" s="67" t="s">
        <v>1962</v>
      </c>
      <c r="C93" s="67" t="s">
        <v>1966</v>
      </c>
      <c r="D93" s="1">
        <v>1</v>
      </c>
      <c r="E93" s="1" t="s">
        <v>440</v>
      </c>
      <c r="F93" s="483">
        <v>171450</v>
      </c>
      <c r="G93" s="67" t="s">
        <v>1985</v>
      </c>
    </row>
    <row r="94" spans="1:7" ht="13.5" customHeight="1">
      <c r="A94" s="67"/>
      <c r="B94" s="67" t="s">
        <v>1962</v>
      </c>
      <c r="C94" s="67" t="s">
        <v>1967</v>
      </c>
      <c r="D94" s="1">
        <v>1</v>
      </c>
      <c r="E94" s="1" t="s">
        <v>440</v>
      </c>
      <c r="F94" s="483">
        <v>187260</v>
      </c>
      <c r="G94" s="67" t="s">
        <v>1985</v>
      </c>
    </row>
    <row r="95" spans="1:7" ht="13.5" customHeight="1">
      <c r="A95" s="67"/>
      <c r="B95" s="67" t="s">
        <v>1962</v>
      </c>
      <c r="C95" s="67" t="s">
        <v>1968</v>
      </c>
      <c r="D95" s="1">
        <v>1</v>
      </c>
      <c r="E95" s="1" t="s">
        <v>440</v>
      </c>
      <c r="F95" s="483">
        <v>213400</v>
      </c>
      <c r="G95" s="67" t="s">
        <v>1985</v>
      </c>
    </row>
    <row r="96" spans="1:7" ht="13.5" customHeight="1">
      <c r="A96" s="67"/>
      <c r="B96" s="67" t="s">
        <v>1962</v>
      </c>
      <c r="C96" s="67" t="s">
        <v>1969</v>
      </c>
      <c r="D96" s="1">
        <v>1</v>
      </c>
      <c r="E96" s="1" t="s">
        <v>440</v>
      </c>
      <c r="F96" s="483">
        <v>486740</v>
      </c>
      <c r="G96" s="67" t="s">
        <v>1985</v>
      </c>
    </row>
    <row r="97" spans="1:7" ht="13.5" customHeight="1">
      <c r="A97" s="67"/>
      <c r="B97" s="67" t="s">
        <v>1962</v>
      </c>
      <c r="C97" s="67" t="s">
        <v>1953</v>
      </c>
      <c r="D97" s="1">
        <v>1</v>
      </c>
      <c r="E97" s="1" t="s">
        <v>440</v>
      </c>
      <c r="F97" s="483">
        <v>517260</v>
      </c>
      <c r="G97" s="67" t="s">
        <v>1985</v>
      </c>
    </row>
    <row r="98" spans="1:7" ht="13.5" customHeight="1">
      <c r="A98" s="67"/>
      <c r="B98" s="67" t="s">
        <v>1962</v>
      </c>
      <c r="C98" s="67" t="s">
        <v>1970</v>
      </c>
      <c r="D98" s="1">
        <v>1</v>
      </c>
      <c r="E98" s="1" t="s">
        <v>440</v>
      </c>
      <c r="F98" s="483">
        <v>526140</v>
      </c>
      <c r="G98" s="67" t="s">
        <v>1985</v>
      </c>
    </row>
    <row r="99" spans="1:7" ht="13.5" customHeight="1">
      <c r="A99" s="67"/>
      <c r="B99" s="67" t="s">
        <v>1962</v>
      </c>
      <c r="C99" s="67" t="s">
        <v>1971</v>
      </c>
      <c r="D99" s="1">
        <v>1</v>
      </c>
      <c r="E99" s="1" t="s">
        <v>440</v>
      </c>
      <c r="F99" s="483">
        <v>78870</v>
      </c>
      <c r="G99" s="67" t="s">
        <v>1985</v>
      </c>
    </row>
    <row r="100" spans="1:7" ht="13.5" customHeight="1">
      <c r="A100" s="67"/>
      <c r="B100" s="67" t="s">
        <v>1962</v>
      </c>
      <c r="C100" s="67" t="s">
        <v>1972</v>
      </c>
      <c r="D100" s="1">
        <v>1</v>
      </c>
      <c r="E100" s="1" t="s">
        <v>440</v>
      </c>
      <c r="F100" s="483">
        <v>101190</v>
      </c>
      <c r="G100" s="67" t="s">
        <v>1985</v>
      </c>
    </row>
    <row r="101" spans="1:7" ht="13.5" customHeight="1">
      <c r="A101" s="67"/>
      <c r="B101" s="67" t="s">
        <v>1962</v>
      </c>
      <c r="C101" s="67" t="s">
        <v>1973</v>
      </c>
      <c r="D101" s="1">
        <v>1</v>
      </c>
      <c r="E101" s="1" t="s">
        <v>440</v>
      </c>
      <c r="F101" s="483">
        <v>128960</v>
      </c>
      <c r="G101" s="67" t="s">
        <v>1985</v>
      </c>
    </row>
    <row r="102" spans="1:7" ht="13.5" customHeight="1">
      <c r="A102" s="67"/>
      <c r="B102" s="67" t="s">
        <v>1962</v>
      </c>
      <c r="C102" s="67" t="s">
        <v>1974</v>
      </c>
      <c r="D102" s="1">
        <v>1</v>
      </c>
      <c r="E102" s="1" t="s">
        <v>440</v>
      </c>
      <c r="F102" s="483">
        <v>262400</v>
      </c>
      <c r="G102" s="67" t="s">
        <v>1985</v>
      </c>
    </row>
    <row r="103" spans="1:7" ht="13.5" customHeight="1">
      <c r="A103" s="67"/>
      <c r="B103" s="67" t="s">
        <v>1962</v>
      </c>
      <c r="C103" s="67" t="s">
        <v>1977</v>
      </c>
      <c r="D103" s="1">
        <v>1</v>
      </c>
      <c r="E103" s="1" t="s">
        <v>440</v>
      </c>
      <c r="F103" s="483">
        <v>104170</v>
      </c>
      <c r="G103" s="67" t="s">
        <v>1985</v>
      </c>
    </row>
    <row r="104" spans="1:7" ht="13.5" customHeight="1">
      <c r="A104" s="67"/>
      <c r="B104" s="67" t="s">
        <v>1962</v>
      </c>
      <c r="C104" s="67" t="s">
        <v>1978</v>
      </c>
      <c r="D104" s="1">
        <v>1</v>
      </c>
      <c r="E104" s="1" t="s">
        <v>440</v>
      </c>
      <c r="F104" s="483">
        <v>132240</v>
      </c>
      <c r="G104" s="67" t="s">
        <v>1985</v>
      </c>
    </row>
    <row r="105" spans="1:7" ht="13.5" customHeight="1">
      <c r="A105" s="67"/>
      <c r="B105" s="67" t="s">
        <v>1962</v>
      </c>
      <c r="C105" s="67" t="s">
        <v>1979</v>
      </c>
      <c r="D105" s="1">
        <v>1</v>
      </c>
      <c r="E105" s="1" t="s">
        <v>440</v>
      </c>
      <c r="F105" s="483">
        <v>174960</v>
      </c>
      <c r="G105" s="67" t="s">
        <v>1985</v>
      </c>
    </row>
    <row r="106" spans="1:7" ht="13.5" customHeight="1">
      <c r="A106" s="67"/>
      <c r="B106" s="67" t="s">
        <v>1962</v>
      </c>
      <c r="C106" s="67" t="s">
        <v>1980</v>
      </c>
      <c r="D106" s="1">
        <v>1</v>
      </c>
      <c r="E106" s="1" t="s">
        <v>440</v>
      </c>
      <c r="F106" s="483">
        <v>323820</v>
      </c>
      <c r="G106" s="67" t="s">
        <v>1985</v>
      </c>
    </row>
    <row r="107" spans="1:7" ht="13.5" customHeight="1">
      <c r="A107" s="67"/>
      <c r="B107" s="67" t="s">
        <v>1962</v>
      </c>
      <c r="C107" s="67" t="s">
        <v>1954</v>
      </c>
      <c r="D107" s="1">
        <v>1</v>
      </c>
      <c r="E107" s="1" t="s">
        <v>440</v>
      </c>
      <c r="F107" s="483">
        <v>51940</v>
      </c>
      <c r="G107" s="67" t="s">
        <v>1985</v>
      </c>
    </row>
    <row r="108" spans="1:7" ht="13.5" customHeight="1">
      <c r="A108" s="67"/>
      <c r="B108" s="67" t="s">
        <v>1962</v>
      </c>
      <c r="C108" s="67" t="s">
        <v>1956</v>
      </c>
      <c r="D108" s="1">
        <v>1</v>
      </c>
      <c r="E108" s="1" t="s">
        <v>440</v>
      </c>
      <c r="F108" s="483">
        <v>94430</v>
      </c>
      <c r="G108" s="67" t="s">
        <v>1985</v>
      </c>
    </row>
    <row r="109" spans="1:7" ht="13.5" customHeight="1">
      <c r="A109" s="67"/>
      <c r="B109" s="67" t="s">
        <v>1962</v>
      </c>
      <c r="C109" s="67" t="s">
        <v>1975</v>
      </c>
      <c r="D109" s="1">
        <v>1</v>
      </c>
      <c r="E109" s="1" t="s">
        <v>440</v>
      </c>
      <c r="F109" s="483">
        <v>122980</v>
      </c>
      <c r="G109" s="67" t="s">
        <v>1985</v>
      </c>
    </row>
    <row r="110" spans="1:7" ht="13.5" customHeight="1">
      <c r="A110" s="67"/>
      <c r="B110" s="67" t="s">
        <v>1962</v>
      </c>
      <c r="C110" s="67" t="s">
        <v>1976</v>
      </c>
      <c r="D110" s="1">
        <v>1</v>
      </c>
      <c r="E110" s="1" t="s">
        <v>440</v>
      </c>
      <c r="F110" s="483">
        <v>202110</v>
      </c>
      <c r="G110" s="67" t="s">
        <v>1985</v>
      </c>
    </row>
    <row r="111" spans="1:7" ht="13.5" customHeight="1">
      <c r="A111" s="67"/>
      <c r="B111" s="67" t="s">
        <v>1981</v>
      </c>
      <c r="C111" s="67" t="s">
        <v>1982</v>
      </c>
      <c r="D111" s="1">
        <v>1</v>
      </c>
      <c r="E111" s="1" t="s">
        <v>440</v>
      </c>
      <c r="F111" s="483">
        <v>333000</v>
      </c>
      <c r="G111" s="67" t="s">
        <v>2551</v>
      </c>
    </row>
    <row r="112" spans="1:7" ht="13.5" customHeight="1">
      <c r="A112" s="67"/>
      <c r="B112" s="67" t="s">
        <v>1981</v>
      </c>
      <c r="C112" s="67" t="s">
        <v>1984</v>
      </c>
      <c r="D112" s="1">
        <v>1</v>
      </c>
      <c r="E112" s="1" t="s">
        <v>440</v>
      </c>
      <c r="F112" s="483">
        <v>1034000</v>
      </c>
      <c r="G112" s="67" t="s">
        <v>2551</v>
      </c>
    </row>
    <row r="113" spans="1:7" ht="13.5" customHeight="1">
      <c r="A113" s="67"/>
      <c r="B113" s="67" t="s">
        <v>1981</v>
      </c>
      <c r="C113" s="67" t="s">
        <v>1983</v>
      </c>
      <c r="D113" s="1">
        <v>1</v>
      </c>
      <c r="E113" s="1" t="s">
        <v>440</v>
      </c>
      <c r="F113" s="483">
        <v>1570000</v>
      </c>
      <c r="G113" s="67" t="s">
        <v>2551</v>
      </c>
    </row>
    <row r="114" spans="1:7" ht="13.5" customHeight="1">
      <c r="A114" s="67" t="s">
        <v>820</v>
      </c>
      <c r="B114" s="67" t="s">
        <v>1368</v>
      </c>
      <c r="C114" s="67" t="s">
        <v>254</v>
      </c>
      <c r="D114" s="1">
        <v>1</v>
      </c>
      <c r="E114" s="1" t="s">
        <v>1754</v>
      </c>
      <c r="F114" s="485">
        <v>1108</v>
      </c>
      <c r="G114" s="67" t="s">
        <v>2551</v>
      </c>
    </row>
    <row r="115" spans="1:7" ht="13.5" customHeight="1">
      <c r="A115" s="67"/>
      <c r="B115" s="67" t="s">
        <v>1368</v>
      </c>
      <c r="C115" s="67" t="s">
        <v>255</v>
      </c>
      <c r="D115" s="1">
        <v>1</v>
      </c>
      <c r="E115" s="1" t="s">
        <v>1754</v>
      </c>
      <c r="F115" s="485">
        <v>850</v>
      </c>
      <c r="G115" s="67" t="s">
        <v>2551</v>
      </c>
    </row>
    <row r="116" spans="1:7" ht="13.5" customHeight="1">
      <c r="A116" s="67"/>
      <c r="B116" s="67" t="s">
        <v>1368</v>
      </c>
      <c r="C116" s="67" t="s">
        <v>256</v>
      </c>
      <c r="D116" s="1">
        <v>1</v>
      </c>
      <c r="E116" s="1" t="s">
        <v>1754</v>
      </c>
      <c r="F116" s="485">
        <v>850</v>
      </c>
      <c r="G116" s="67" t="s">
        <v>2551</v>
      </c>
    </row>
    <row r="117" spans="1:7" ht="13.5" customHeight="1">
      <c r="A117" s="67"/>
      <c r="B117" s="67" t="s">
        <v>1368</v>
      </c>
      <c r="C117" s="67" t="s">
        <v>257</v>
      </c>
      <c r="D117" s="1">
        <v>1</v>
      </c>
      <c r="E117" s="1" t="s">
        <v>1754</v>
      </c>
      <c r="F117" s="485">
        <v>850</v>
      </c>
      <c r="G117" s="67" t="s">
        <v>2551</v>
      </c>
    </row>
    <row r="118" spans="1:7" ht="13.5" customHeight="1">
      <c r="A118" s="67"/>
      <c r="B118" s="67" t="s">
        <v>1368</v>
      </c>
      <c r="C118" s="67" t="s">
        <v>258</v>
      </c>
      <c r="D118" s="1">
        <v>1</v>
      </c>
      <c r="E118" s="1" t="s">
        <v>1754</v>
      </c>
      <c r="F118" s="483">
        <v>860</v>
      </c>
      <c r="G118" s="67" t="s">
        <v>2551</v>
      </c>
    </row>
    <row r="119" spans="1:7" ht="13.5" customHeight="1">
      <c r="A119" s="67"/>
      <c r="B119" s="67" t="s">
        <v>259</v>
      </c>
      <c r="C119" s="67" t="s">
        <v>260</v>
      </c>
      <c r="D119" s="1">
        <v>1</v>
      </c>
      <c r="E119" s="1" t="s">
        <v>1754</v>
      </c>
      <c r="F119" s="485">
        <v>1215</v>
      </c>
      <c r="G119" s="67" t="s">
        <v>2551</v>
      </c>
    </row>
    <row r="120" spans="1:7" ht="13.5" customHeight="1">
      <c r="A120" s="67"/>
      <c r="B120" s="67" t="s">
        <v>259</v>
      </c>
      <c r="C120" s="67" t="s">
        <v>261</v>
      </c>
      <c r="D120" s="1">
        <v>1</v>
      </c>
      <c r="E120" s="1" t="s">
        <v>1754</v>
      </c>
      <c r="F120" s="661">
        <v>946</v>
      </c>
      <c r="G120" s="67" t="s">
        <v>2551</v>
      </c>
    </row>
    <row r="121" spans="1:7" ht="13.5" customHeight="1">
      <c r="A121" s="67"/>
      <c r="B121" s="67" t="s">
        <v>262</v>
      </c>
      <c r="C121" s="67" t="s">
        <v>263</v>
      </c>
      <c r="D121" s="1">
        <v>1</v>
      </c>
      <c r="E121" s="1" t="s">
        <v>1754</v>
      </c>
      <c r="F121" s="485">
        <v>1530</v>
      </c>
      <c r="G121" s="67" t="s">
        <v>2551</v>
      </c>
    </row>
    <row r="122" spans="1:7" ht="13.5" customHeight="1">
      <c r="A122" s="67"/>
      <c r="B122" s="67" t="s">
        <v>264</v>
      </c>
      <c r="C122" s="67" t="s">
        <v>265</v>
      </c>
      <c r="D122" s="1">
        <v>1</v>
      </c>
      <c r="E122" s="1" t="s">
        <v>1754</v>
      </c>
      <c r="F122" s="661">
        <v>860</v>
      </c>
      <c r="G122" s="67" t="s">
        <v>2551</v>
      </c>
    </row>
    <row r="123" spans="1:7" ht="13.5" customHeight="1">
      <c r="A123" s="67"/>
      <c r="B123" s="67" t="s">
        <v>1369</v>
      </c>
      <c r="C123" s="67" t="s">
        <v>266</v>
      </c>
      <c r="D123" s="1">
        <v>1</v>
      </c>
      <c r="E123" s="1" t="s">
        <v>1754</v>
      </c>
      <c r="F123" s="482">
        <v>860</v>
      </c>
      <c r="G123" s="67" t="s">
        <v>2551</v>
      </c>
    </row>
    <row r="124" spans="1:7" ht="13.5" customHeight="1">
      <c r="A124" s="67"/>
      <c r="B124" s="67" t="s">
        <v>267</v>
      </c>
      <c r="C124" s="67" t="s">
        <v>268</v>
      </c>
      <c r="D124" s="1">
        <v>1</v>
      </c>
      <c r="E124" s="1" t="s">
        <v>1321</v>
      </c>
      <c r="F124" s="482">
        <v>21160</v>
      </c>
      <c r="G124" s="67" t="s">
        <v>2551</v>
      </c>
    </row>
    <row r="125" spans="1:7" ht="13.5" customHeight="1">
      <c r="A125" s="67"/>
      <c r="B125" s="67" t="s">
        <v>269</v>
      </c>
      <c r="C125" s="67" t="s">
        <v>270</v>
      </c>
      <c r="D125" s="1">
        <v>1</v>
      </c>
      <c r="E125" s="1" t="s">
        <v>1321</v>
      </c>
      <c r="F125" s="482">
        <v>15920</v>
      </c>
      <c r="G125" s="67" t="s">
        <v>2551</v>
      </c>
    </row>
    <row r="126" spans="1:7" s="85" customFormat="1" ht="13.5" customHeight="1">
      <c r="A126" s="67"/>
      <c r="B126" s="67" t="s">
        <v>271</v>
      </c>
      <c r="C126" s="67" t="s">
        <v>272</v>
      </c>
      <c r="D126" s="1">
        <v>1</v>
      </c>
      <c r="E126" s="1" t="s">
        <v>1752</v>
      </c>
      <c r="F126" s="482">
        <v>61</v>
      </c>
      <c r="G126" s="67" t="s">
        <v>2551</v>
      </c>
    </row>
    <row r="127" spans="1:7" s="85" customFormat="1" ht="13.5" customHeight="1">
      <c r="A127" s="67"/>
      <c r="B127" s="67" t="s">
        <v>273</v>
      </c>
      <c r="C127" s="67" t="s">
        <v>274</v>
      </c>
      <c r="D127" s="1">
        <v>1</v>
      </c>
      <c r="E127" s="1" t="s">
        <v>1752</v>
      </c>
      <c r="F127" s="482">
        <v>126</v>
      </c>
      <c r="G127" s="67" t="s">
        <v>2551</v>
      </c>
    </row>
    <row r="128" spans="1:7" s="85" customFormat="1" ht="13.5" customHeight="1">
      <c r="A128" s="67"/>
      <c r="B128" s="67" t="s">
        <v>275</v>
      </c>
      <c r="C128" s="67" t="s">
        <v>276</v>
      </c>
      <c r="D128" s="1">
        <v>1</v>
      </c>
      <c r="E128" s="1" t="s">
        <v>1752</v>
      </c>
      <c r="F128" s="482">
        <v>135</v>
      </c>
      <c r="G128" s="67" t="s">
        <v>2551</v>
      </c>
    </row>
    <row r="129" spans="1:7" ht="13.5" customHeight="1">
      <c r="A129" s="67"/>
      <c r="B129" s="67" t="s">
        <v>277</v>
      </c>
      <c r="C129" s="67" t="s">
        <v>278</v>
      </c>
      <c r="D129" s="1">
        <v>1</v>
      </c>
      <c r="E129" s="1" t="s">
        <v>1754</v>
      </c>
      <c r="F129" s="483">
        <v>860</v>
      </c>
      <c r="G129" s="67" t="s">
        <v>2551</v>
      </c>
    </row>
    <row r="130" spans="1:7" ht="13.5" customHeight="1">
      <c r="A130" s="67"/>
      <c r="B130" s="67" t="s">
        <v>279</v>
      </c>
      <c r="C130" s="67" t="s">
        <v>280</v>
      </c>
      <c r="D130" s="1">
        <v>1</v>
      </c>
      <c r="E130" s="1" t="s">
        <v>1754</v>
      </c>
      <c r="F130" s="482">
        <v>980</v>
      </c>
      <c r="G130" s="67" t="s">
        <v>2551</v>
      </c>
    </row>
    <row r="131" spans="1:7" ht="13.5" customHeight="1">
      <c r="A131" s="67"/>
      <c r="B131" s="67" t="s">
        <v>279</v>
      </c>
      <c r="C131" s="67" t="s">
        <v>198</v>
      </c>
      <c r="D131" s="1">
        <v>1</v>
      </c>
      <c r="E131" s="1" t="s">
        <v>1754</v>
      </c>
      <c r="F131" s="482">
        <v>980</v>
      </c>
      <c r="G131" s="67" t="s">
        <v>2551</v>
      </c>
    </row>
    <row r="132" spans="1:7" ht="13.5" customHeight="1">
      <c r="A132" s="67"/>
      <c r="B132" s="67" t="s">
        <v>281</v>
      </c>
      <c r="C132" s="67" t="s">
        <v>282</v>
      </c>
      <c r="D132" s="1">
        <v>1</v>
      </c>
      <c r="E132" s="1" t="s">
        <v>1754</v>
      </c>
      <c r="F132" s="482">
        <v>974</v>
      </c>
      <c r="G132" s="67" t="s">
        <v>2551</v>
      </c>
    </row>
    <row r="133" spans="1:7" ht="13.5" customHeight="1">
      <c r="A133" s="67"/>
      <c r="B133" s="67" t="s">
        <v>281</v>
      </c>
      <c r="C133" s="67" t="s">
        <v>283</v>
      </c>
      <c r="D133" s="1">
        <v>1</v>
      </c>
      <c r="E133" s="1" t="s">
        <v>1754</v>
      </c>
      <c r="F133" s="482">
        <v>974</v>
      </c>
      <c r="G133" s="67" t="s">
        <v>2551</v>
      </c>
    </row>
    <row r="134" spans="1:7" ht="13.5" customHeight="1">
      <c r="A134" s="67"/>
      <c r="B134" s="67" t="s">
        <v>281</v>
      </c>
      <c r="C134" s="67" t="s">
        <v>284</v>
      </c>
      <c r="D134" s="1">
        <v>1</v>
      </c>
      <c r="E134" s="1" t="s">
        <v>1754</v>
      </c>
      <c r="F134" s="482">
        <v>974</v>
      </c>
      <c r="G134" s="67" t="s">
        <v>2551</v>
      </c>
    </row>
    <row r="135" spans="1:7" ht="13.5" customHeight="1">
      <c r="A135" s="67"/>
      <c r="B135" s="67" t="s">
        <v>1243</v>
      </c>
      <c r="C135" s="67" t="s">
        <v>285</v>
      </c>
      <c r="D135" s="1">
        <v>1</v>
      </c>
      <c r="E135" s="1" t="s">
        <v>1019</v>
      </c>
      <c r="F135" s="485">
        <v>1630</v>
      </c>
      <c r="G135" s="67" t="s">
        <v>2551</v>
      </c>
    </row>
    <row r="136" spans="1:7" ht="13.5" customHeight="1">
      <c r="A136" s="67"/>
      <c r="B136" s="67" t="s">
        <v>1243</v>
      </c>
      <c r="C136" s="67" t="s">
        <v>286</v>
      </c>
      <c r="D136" s="1">
        <v>1</v>
      </c>
      <c r="E136" s="1" t="s">
        <v>1019</v>
      </c>
      <c r="F136" s="485">
        <v>2210</v>
      </c>
      <c r="G136" s="67" t="s">
        <v>2551</v>
      </c>
    </row>
    <row r="137" spans="1:7" ht="13.5" customHeight="1">
      <c r="A137" s="67"/>
      <c r="B137" s="67" t="s">
        <v>287</v>
      </c>
      <c r="C137" s="67" t="s">
        <v>288</v>
      </c>
      <c r="D137" s="1">
        <v>1</v>
      </c>
      <c r="E137" s="1" t="s">
        <v>1015</v>
      </c>
      <c r="F137" s="482">
        <v>24200</v>
      </c>
      <c r="G137" s="67" t="s">
        <v>2551</v>
      </c>
    </row>
    <row r="138" spans="1:7" ht="13.5" customHeight="1">
      <c r="A138" s="67"/>
      <c r="B138" s="67" t="s">
        <v>289</v>
      </c>
      <c r="C138" s="67" t="s">
        <v>290</v>
      </c>
      <c r="D138" s="1">
        <v>1</v>
      </c>
      <c r="E138" s="1" t="s">
        <v>1015</v>
      </c>
      <c r="F138" s="660">
        <v>61313</v>
      </c>
      <c r="G138" s="67" t="s">
        <v>2551</v>
      </c>
    </row>
    <row r="139" spans="1:7" ht="13.5" customHeight="1">
      <c r="A139" s="67"/>
      <c r="B139" s="67" t="s">
        <v>1157</v>
      </c>
      <c r="C139" s="67" t="s">
        <v>291</v>
      </c>
      <c r="D139" s="1">
        <v>1</v>
      </c>
      <c r="E139" s="1" t="s">
        <v>1016</v>
      </c>
      <c r="F139" s="485">
        <v>3469</v>
      </c>
      <c r="G139" s="67" t="s">
        <v>2551</v>
      </c>
    </row>
    <row r="140" spans="1:7" ht="13.5" customHeight="1">
      <c r="A140" s="67"/>
      <c r="B140" s="67" t="s">
        <v>1157</v>
      </c>
      <c r="C140" s="67" t="s">
        <v>292</v>
      </c>
      <c r="D140" s="1">
        <v>1</v>
      </c>
      <c r="E140" s="1" t="s">
        <v>1016</v>
      </c>
      <c r="F140" s="485">
        <v>2336</v>
      </c>
      <c r="G140" s="67" t="s">
        <v>2551</v>
      </c>
    </row>
    <row r="141" spans="1:7" ht="13.5" customHeight="1">
      <c r="A141" s="67"/>
      <c r="B141" s="67" t="s">
        <v>1157</v>
      </c>
      <c r="C141" s="67" t="s">
        <v>293</v>
      </c>
      <c r="D141" s="1">
        <v>1</v>
      </c>
      <c r="E141" s="1" t="s">
        <v>1016</v>
      </c>
      <c r="F141" s="485">
        <v>2272</v>
      </c>
      <c r="G141" s="67" t="s">
        <v>2551</v>
      </c>
    </row>
    <row r="142" spans="1:7" ht="13.5" customHeight="1">
      <c r="A142" s="67"/>
      <c r="B142" s="67" t="s">
        <v>1157</v>
      </c>
      <c r="C142" s="67" t="s">
        <v>294</v>
      </c>
      <c r="D142" s="1">
        <v>1</v>
      </c>
      <c r="E142" s="1" t="s">
        <v>1016</v>
      </c>
      <c r="F142" s="485">
        <v>1518</v>
      </c>
      <c r="G142" s="67" t="s">
        <v>2551</v>
      </c>
    </row>
    <row r="143" spans="1:7" ht="13.5" customHeight="1">
      <c r="A143" s="67"/>
      <c r="B143" s="67" t="s">
        <v>1362</v>
      </c>
      <c r="C143" s="67" t="s">
        <v>1142</v>
      </c>
      <c r="D143" s="1">
        <v>1</v>
      </c>
      <c r="E143" s="1" t="s">
        <v>1754</v>
      </c>
      <c r="F143" s="484">
        <v>-430</v>
      </c>
      <c r="G143" s="67" t="s">
        <v>2551</v>
      </c>
    </row>
    <row r="144" spans="1:7" ht="13.5" customHeight="1">
      <c r="A144" s="67"/>
      <c r="B144" s="67" t="s">
        <v>295</v>
      </c>
      <c r="C144" s="67" t="s">
        <v>296</v>
      </c>
      <c r="D144" s="1">
        <v>1</v>
      </c>
      <c r="E144" s="1" t="s">
        <v>1752</v>
      </c>
      <c r="F144" s="410">
        <v>553</v>
      </c>
      <c r="G144" s="67" t="s">
        <v>2551</v>
      </c>
    </row>
    <row r="145" spans="1:13" ht="13.5" customHeight="1">
      <c r="A145" s="67"/>
      <c r="B145" s="67" t="s">
        <v>297</v>
      </c>
      <c r="C145" s="67" t="s">
        <v>298</v>
      </c>
      <c r="D145" s="1">
        <v>1</v>
      </c>
      <c r="E145" s="1" t="s">
        <v>1760</v>
      </c>
      <c r="F145" s="482">
        <v>2028640</v>
      </c>
      <c r="G145" s="67" t="s">
        <v>2551</v>
      </c>
    </row>
    <row r="146" spans="1:13" ht="13.5" customHeight="1">
      <c r="A146" s="67"/>
      <c r="B146" s="67" t="s">
        <v>299</v>
      </c>
      <c r="C146" s="67" t="s">
        <v>300</v>
      </c>
      <c r="D146" s="1">
        <v>1</v>
      </c>
      <c r="E146" s="1" t="s">
        <v>1321</v>
      </c>
      <c r="F146" s="482">
        <v>1764326</v>
      </c>
      <c r="G146" s="67" t="s">
        <v>2551</v>
      </c>
    </row>
    <row r="147" spans="1:13" ht="13.5" customHeight="1">
      <c r="A147" s="67"/>
      <c r="B147" s="67" t="s">
        <v>301</v>
      </c>
      <c r="C147" s="67" t="s">
        <v>1805</v>
      </c>
      <c r="D147" s="1">
        <v>1</v>
      </c>
      <c r="E147" s="1" t="s">
        <v>1019</v>
      </c>
      <c r="F147" s="482">
        <v>47700</v>
      </c>
      <c r="G147" s="67" t="s">
        <v>2551</v>
      </c>
    </row>
    <row r="148" spans="1:13" ht="13.5" customHeight="1">
      <c r="A148" s="67"/>
      <c r="B148" s="67" t="s">
        <v>301</v>
      </c>
      <c r="C148" s="67" t="s">
        <v>302</v>
      </c>
      <c r="D148" s="1">
        <v>1</v>
      </c>
      <c r="E148" s="1" t="s">
        <v>1019</v>
      </c>
      <c r="F148" s="482">
        <v>69800</v>
      </c>
      <c r="G148" s="67" t="s">
        <v>2551</v>
      </c>
    </row>
    <row r="149" spans="1:13" ht="13.5" customHeight="1">
      <c r="A149" s="67"/>
      <c r="B149" s="67" t="s">
        <v>301</v>
      </c>
      <c r="C149" s="67" t="s">
        <v>1797</v>
      </c>
      <c r="D149" s="1">
        <v>1</v>
      </c>
      <c r="E149" s="1" t="s">
        <v>1019</v>
      </c>
      <c r="F149" s="482">
        <v>66200</v>
      </c>
      <c r="G149" s="67" t="s">
        <v>2551</v>
      </c>
    </row>
    <row r="150" spans="1:13" ht="13.5" customHeight="1">
      <c r="A150" s="67"/>
      <c r="B150" s="67" t="s">
        <v>681</v>
      </c>
      <c r="C150" s="67" t="s">
        <v>1804</v>
      </c>
      <c r="D150" s="1">
        <v>1</v>
      </c>
      <c r="E150" s="1" t="s">
        <v>1012</v>
      </c>
      <c r="F150" s="482">
        <v>299500</v>
      </c>
      <c r="G150" s="67" t="s">
        <v>2551</v>
      </c>
    </row>
    <row r="151" spans="1:13" ht="13.5" customHeight="1">
      <c r="A151" s="67"/>
      <c r="B151" s="67" t="s">
        <v>681</v>
      </c>
      <c r="C151" s="67" t="s">
        <v>303</v>
      </c>
      <c r="D151" s="1">
        <v>1</v>
      </c>
      <c r="E151" s="1" t="s">
        <v>1012</v>
      </c>
      <c r="F151" s="482">
        <v>328900</v>
      </c>
      <c r="G151" s="67" t="s">
        <v>2551</v>
      </c>
    </row>
    <row r="152" spans="1:13" ht="13.5" customHeight="1">
      <c r="A152" s="67"/>
      <c r="B152" s="67" t="s">
        <v>681</v>
      </c>
      <c r="C152" s="67" t="s">
        <v>1796</v>
      </c>
      <c r="D152" s="1">
        <v>1</v>
      </c>
      <c r="E152" s="1" t="s">
        <v>1012</v>
      </c>
      <c r="F152" s="482">
        <v>341100</v>
      </c>
      <c r="G152" s="67" t="s">
        <v>2551</v>
      </c>
    </row>
    <row r="153" spans="1:13" ht="13.5" customHeight="1">
      <c r="A153" s="67"/>
      <c r="B153" s="67" t="s">
        <v>1892</v>
      </c>
      <c r="C153" s="67" t="s">
        <v>1893</v>
      </c>
      <c r="D153" s="1">
        <v>1</v>
      </c>
      <c r="E153" s="1" t="s">
        <v>1321</v>
      </c>
      <c r="F153" s="482">
        <v>41200</v>
      </c>
      <c r="G153" s="67" t="s">
        <v>2551</v>
      </c>
    </row>
    <row r="154" spans="1:13" ht="13.5" customHeight="1">
      <c r="A154" s="67"/>
      <c r="B154" s="67" t="s">
        <v>304</v>
      </c>
      <c r="C154" s="67" t="s">
        <v>302</v>
      </c>
      <c r="D154" s="1">
        <v>1</v>
      </c>
      <c r="E154" s="1" t="s">
        <v>1321</v>
      </c>
      <c r="F154" s="482">
        <v>44600</v>
      </c>
      <c r="G154" s="67" t="s">
        <v>2551</v>
      </c>
    </row>
    <row r="155" spans="1:13" ht="13.5" customHeight="1">
      <c r="A155" s="67"/>
      <c r="B155" s="67" t="s">
        <v>1892</v>
      </c>
      <c r="C155" s="67" t="s">
        <v>1894</v>
      </c>
      <c r="D155" s="1">
        <v>1</v>
      </c>
      <c r="E155" s="1" t="s">
        <v>1321</v>
      </c>
      <c r="F155" s="482">
        <v>48900</v>
      </c>
      <c r="G155" s="67" t="s">
        <v>2551</v>
      </c>
    </row>
    <row r="156" spans="1:13" ht="13.5" customHeight="1">
      <c r="A156" s="67"/>
      <c r="B156" s="67" t="s">
        <v>693</v>
      </c>
      <c r="C156" s="67" t="s">
        <v>305</v>
      </c>
      <c r="D156" s="1">
        <v>1</v>
      </c>
      <c r="E156" s="1" t="s">
        <v>1022</v>
      </c>
      <c r="F156" s="482">
        <v>164000</v>
      </c>
      <c r="G156" s="67" t="s">
        <v>2551</v>
      </c>
    </row>
    <row r="157" spans="1:13" ht="13.5" customHeight="1">
      <c r="A157" s="67"/>
      <c r="B157" s="67" t="s">
        <v>693</v>
      </c>
      <c r="C157" s="67" t="s">
        <v>306</v>
      </c>
      <c r="D157" s="1">
        <v>1</v>
      </c>
      <c r="E157" s="1" t="s">
        <v>1022</v>
      </c>
      <c r="F157" s="482">
        <v>225000</v>
      </c>
      <c r="G157" s="67" t="s">
        <v>2551</v>
      </c>
    </row>
    <row r="158" spans="1:13" ht="13.5" customHeight="1">
      <c r="A158" s="67"/>
      <c r="B158" s="67" t="s">
        <v>693</v>
      </c>
      <c r="C158" s="67" t="s">
        <v>1798</v>
      </c>
      <c r="D158" s="1">
        <v>1</v>
      </c>
      <c r="E158" s="1" t="s">
        <v>1022</v>
      </c>
      <c r="F158" s="482">
        <v>342000</v>
      </c>
      <c r="G158" s="67" t="s">
        <v>2551</v>
      </c>
    </row>
    <row r="159" spans="1:13" ht="13.5" customHeight="1">
      <c r="A159" s="67"/>
      <c r="B159" s="67" t="s">
        <v>307</v>
      </c>
      <c r="C159" s="67" t="s">
        <v>308</v>
      </c>
      <c r="D159" s="1">
        <v>1</v>
      </c>
      <c r="E159" s="1" t="s">
        <v>1756</v>
      </c>
      <c r="F159" s="482">
        <v>3050</v>
      </c>
      <c r="G159" s="67" t="s">
        <v>2551</v>
      </c>
      <c r="M159" s="86"/>
    </row>
    <row r="160" spans="1:13" ht="13.5" customHeight="1">
      <c r="A160" s="67"/>
      <c r="B160" s="67" t="s">
        <v>309</v>
      </c>
      <c r="C160" s="67" t="s">
        <v>310</v>
      </c>
      <c r="D160" s="1">
        <v>1</v>
      </c>
      <c r="E160" s="1" t="s">
        <v>1017</v>
      </c>
      <c r="F160" s="485">
        <v>830</v>
      </c>
      <c r="G160" s="67" t="s">
        <v>2551</v>
      </c>
      <c r="M160" s="86"/>
    </row>
    <row r="161" spans="1:13" ht="13.5" customHeight="1">
      <c r="A161" s="67"/>
      <c r="B161" s="67" t="s">
        <v>311</v>
      </c>
      <c r="C161" s="67" t="s">
        <v>312</v>
      </c>
      <c r="D161" s="1">
        <v>1</v>
      </c>
      <c r="E161" s="1" t="s">
        <v>1017</v>
      </c>
      <c r="F161" s="485">
        <v>1270</v>
      </c>
      <c r="G161" s="67" t="s">
        <v>2551</v>
      </c>
      <c r="M161" s="87"/>
    </row>
    <row r="162" spans="1:13" ht="13.5" customHeight="1">
      <c r="A162" s="67"/>
      <c r="B162" s="67" t="s">
        <v>313</v>
      </c>
      <c r="C162" s="67" t="s">
        <v>314</v>
      </c>
      <c r="D162" s="1">
        <v>1</v>
      </c>
      <c r="E162" s="1" t="s">
        <v>1017</v>
      </c>
      <c r="F162" s="485">
        <v>2800</v>
      </c>
      <c r="G162" s="67" t="s">
        <v>2551</v>
      </c>
    </row>
    <row r="163" spans="1:13" ht="13.5" customHeight="1">
      <c r="A163" s="67"/>
      <c r="B163" s="67" t="s">
        <v>315</v>
      </c>
      <c r="C163" s="67" t="s">
        <v>316</v>
      </c>
      <c r="D163" s="1">
        <v>1</v>
      </c>
      <c r="E163" s="1" t="s">
        <v>1017</v>
      </c>
      <c r="F163" s="485">
        <v>1026</v>
      </c>
      <c r="G163" s="67" t="s">
        <v>2551</v>
      </c>
    </row>
    <row r="164" spans="1:13" ht="13.5" customHeight="1">
      <c r="A164" s="67"/>
      <c r="B164" s="67" t="s">
        <v>318</v>
      </c>
      <c r="C164" s="67" t="s">
        <v>319</v>
      </c>
      <c r="D164" s="1">
        <v>1</v>
      </c>
      <c r="E164" s="1" t="s">
        <v>1019</v>
      </c>
      <c r="F164" s="482">
        <v>3060</v>
      </c>
      <c r="G164" s="67" t="s">
        <v>2551</v>
      </c>
    </row>
    <row r="165" spans="1:13" ht="13.5" customHeight="1">
      <c r="A165" s="67"/>
      <c r="B165" s="67" t="s">
        <v>320</v>
      </c>
      <c r="C165" s="67" t="s">
        <v>319</v>
      </c>
      <c r="D165" s="1">
        <v>1</v>
      </c>
      <c r="E165" s="1" t="s">
        <v>1019</v>
      </c>
      <c r="F165" s="482">
        <v>2550</v>
      </c>
      <c r="G165" s="67" t="s">
        <v>2551</v>
      </c>
    </row>
    <row r="166" spans="1:13" ht="13.5" customHeight="1">
      <c r="A166" s="67"/>
      <c r="B166" s="67" t="s">
        <v>321</v>
      </c>
      <c r="C166" s="67" t="s">
        <v>322</v>
      </c>
      <c r="D166" s="1">
        <v>1</v>
      </c>
      <c r="E166" s="1" t="s">
        <v>1022</v>
      </c>
      <c r="F166" s="482">
        <v>39600</v>
      </c>
      <c r="G166" s="67" t="s">
        <v>2551</v>
      </c>
    </row>
    <row r="167" spans="1:13" ht="13.5" customHeight="1">
      <c r="A167" s="67"/>
      <c r="B167" s="67" t="s">
        <v>323</v>
      </c>
      <c r="C167" s="67" t="s">
        <v>322</v>
      </c>
      <c r="D167" s="1">
        <v>1</v>
      </c>
      <c r="E167" s="1" t="s">
        <v>1022</v>
      </c>
      <c r="F167" s="482">
        <v>67830</v>
      </c>
      <c r="G167" s="67" t="s">
        <v>2551</v>
      </c>
    </row>
    <row r="168" spans="1:13" ht="13.5" customHeight="1">
      <c r="A168" s="67"/>
      <c r="B168" s="67" t="s">
        <v>324</v>
      </c>
      <c r="C168" s="67" t="s">
        <v>322</v>
      </c>
      <c r="D168" s="1">
        <v>1</v>
      </c>
      <c r="E168" s="1" t="s">
        <v>1022</v>
      </c>
      <c r="F168" s="482">
        <v>109800</v>
      </c>
      <c r="G168" s="67" t="s">
        <v>2551</v>
      </c>
    </row>
    <row r="169" spans="1:13" ht="13.5" customHeight="1">
      <c r="A169" s="67"/>
      <c r="B169" s="67" t="s">
        <v>325</v>
      </c>
      <c r="C169" s="67" t="s">
        <v>322</v>
      </c>
      <c r="D169" s="1">
        <v>1</v>
      </c>
      <c r="E169" s="1" t="s">
        <v>1022</v>
      </c>
      <c r="F169" s="482">
        <v>35150</v>
      </c>
      <c r="G169" s="67" t="s">
        <v>2551</v>
      </c>
    </row>
    <row r="170" spans="1:13" ht="13.5" customHeight="1">
      <c r="A170" s="67"/>
      <c r="B170" s="67" t="s">
        <v>326</v>
      </c>
      <c r="C170" s="67" t="s">
        <v>327</v>
      </c>
      <c r="D170" s="1">
        <v>1</v>
      </c>
      <c r="E170" s="1" t="s">
        <v>1321</v>
      </c>
      <c r="F170" s="482">
        <v>6000</v>
      </c>
      <c r="G170" s="67" t="s">
        <v>2551</v>
      </c>
    </row>
    <row r="171" spans="1:13" ht="13.5" customHeight="1">
      <c r="A171" s="67"/>
      <c r="B171" s="67" t="s">
        <v>328</v>
      </c>
      <c r="C171" s="67" t="s">
        <v>329</v>
      </c>
      <c r="D171" s="1">
        <v>1</v>
      </c>
      <c r="E171" s="1" t="s">
        <v>439</v>
      </c>
      <c r="F171" s="482">
        <v>15200</v>
      </c>
      <c r="G171" s="67" t="s">
        <v>2551</v>
      </c>
    </row>
    <row r="172" spans="1:13" ht="13.5" customHeight="1">
      <c r="A172" s="67"/>
      <c r="B172" s="67" t="s">
        <v>330</v>
      </c>
      <c r="C172" s="67" t="s">
        <v>331</v>
      </c>
      <c r="D172" s="1">
        <v>1</v>
      </c>
      <c r="E172" s="1" t="s">
        <v>1753</v>
      </c>
      <c r="F172" s="482">
        <v>8495</v>
      </c>
      <c r="G172" s="67" t="s">
        <v>2551</v>
      </c>
    </row>
    <row r="173" spans="1:13" ht="13.5" customHeight="1">
      <c r="A173" s="67"/>
      <c r="B173" s="67" t="s">
        <v>332</v>
      </c>
      <c r="C173" s="67" t="s">
        <v>333</v>
      </c>
      <c r="D173" s="1">
        <v>1</v>
      </c>
      <c r="E173" s="1" t="s">
        <v>1759</v>
      </c>
      <c r="F173" s="482">
        <v>7140</v>
      </c>
      <c r="G173" s="67" t="s">
        <v>2551</v>
      </c>
    </row>
    <row r="174" spans="1:13" ht="13.5" customHeight="1">
      <c r="A174" s="67"/>
      <c r="B174" s="67" t="s">
        <v>334</v>
      </c>
      <c r="C174" s="67" t="s">
        <v>335</v>
      </c>
      <c r="D174" s="1">
        <v>1</v>
      </c>
      <c r="E174" s="1" t="s">
        <v>1752</v>
      </c>
      <c r="F174" s="482">
        <v>55000</v>
      </c>
      <c r="G174" s="67" t="s">
        <v>2551</v>
      </c>
    </row>
    <row r="175" spans="1:13" ht="13.5" customHeight="1">
      <c r="A175" s="67"/>
      <c r="B175" s="67" t="s">
        <v>336</v>
      </c>
      <c r="C175" s="67" t="s">
        <v>337</v>
      </c>
      <c r="D175" s="1">
        <v>1</v>
      </c>
      <c r="E175" s="1" t="s">
        <v>1019</v>
      </c>
      <c r="F175" s="482">
        <v>1800</v>
      </c>
      <c r="G175" s="67" t="s">
        <v>2551</v>
      </c>
    </row>
    <row r="176" spans="1:13" ht="13.5" customHeight="1">
      <c r="A176" s="67"/>
      <c r="B176" s="67" t="s">
        <v>338</v>
      </c>
      <c r="C176" s="67"/>
      <c r="D176" s="1">
        <v>1</v>
      </c>
      <c r="E176" s="1" t="s">
        <v>1756</v>
      </c>
      <c r="F176" s="482">
        <v>1270</v>
      </c>
      <c r="G176" s="67" t="s">
        <v>2551</v>
      </c>
    </row>
    <row r="177" spans="1:7" ht="13.5" customHeight="1">
      <c r="A177" s="67"/>
      <c r="B177" s="67" t="s">
        <v>339</v>
      </c>
      <c r="C177" s="67" t="s">
        <v>1895</v>
      </c>
      <c r="D177" s="1">
        <v>1</v>
      </c>
      <c r="E177" s="1" t="s">
        <v>1019</v>
      </c>
      <c r="F177" s="482">
        <v>22609</v>
      </c>
      <c r="G177" s="67" t="s">
        <v>2551</v>
      </c>
    </row>
    <row r="178" spans="1:7" ht="13.5" customHeight="1">
      <c r="A178" s="67"/>
      <c r="B178" s="67" t="s">
        <v>339</v>
      </c>
      <c r="C178" s="67" t="s">
        <v>1896</v>
      </c>
      <c r="D178" s="1">
        <v>1</v>
      </c>
      <c r="E178" s="1" t="s">
        <v>1019</v>
      </c>
      <c r="F178" s="482">
        <v>26000</v>
      </c>
      <c r="G178" s="67" t="s">
        <v>2551</v>
      </c>
    </row>
    <row r="179" spans="1:7" ht="13.5" customHeight="1">
      <c r="A179" s="67"/>
      <c r="B179" s="67" t="s">
        <v>339</v>
      </c>
      <c r="C179" s="67" t="s">
        <v>1897</v>
      </c>
      <c r="D179" s="1">
        <v>1</v>
      </c>
      <c r="E179" s="1" t="s">
        <v>1019</v>
      </c>
      <c r="F179" s="482">
        <v>28000</v>
      </c>
      <c r="G179" s="67" t="s">
        <v>2551</v>
      </c>
    </row>
    <row r="180" spans="1:7" ht="13.5" customHeight="1">
      <c r="A180" s="67"/>
      <c r="B180" s="67" t="s">
        <v>611</v>
      </c>
      <c r="C180" s="67" t="s">
        <v>340</v>
      </c>
      <c r="D180" s="1">
        <v>1</v>
      </c>
      <c r="E180" s="1" t="s">
        <v>1017</v>
      </c>
      <c r="F180" s="483">
        <v>190000</v>
      </c>
      <c r="G180" s="67" t="s">
        <v>2551</v>
      </c>
    </row>
    <row r="181" spans="1:7" ht="13.5" customHeight="1">
      <c r="A181" s="67"/>
      <c r="B181" s="67" t="s">
        <v>341</v>
      </c>
      <c r="C181" s="67" t="s">
        <v>342</v>
      </c>
      <c r="D181" s="1">
        <v>1</v>
      </c>
      <c r="E181" s="1" t="s">
        <v>1017</v>
      </c>
      <c r="F181" s="660">
        <v>258570</v>
      </c>
      <c r="G181" s="67" t="s">
        <v>2551</v>
      </c>
    </row>
    <row r="182" spans="1:7" ht="13.5" customHeight="1">
      <c r="A182" s="67"/>
      <c r="B182" s="67" t="s">
        <v>1268</v>
      </c>
      <c r="C182" s="67" t="s">
        <v>343</v>
      </c>
      <c r="D182" s="1">
        <v>1</v>
      </c>
      <c r="E182" s="1" t="s">
        <v>1754</v>
      </c>
      <c r="F182" s="485">
        <v>861</v>
      </c>
      <c r="G182" s="67" t="s">
        <v>2551</v>
      </c>
    </row>
    <row r="183" spans="1:7" ht="13.5" customHeight="1">
      <c r="A183" s="67"/>
      <c r="B183" s="67" t="s">
        <v>344</v>
      </c>
      <c r="C183" s="67" t="s">
        <v>345</v>
      </c>
      <c r="D183" s="1">
        <v>1</v>
      </c>
      <c r="E183" s="1" t="s">
        <v>1759</v>
      </c>
      <c r="F183" s="301">
        <v>159390</v>
      </c>
      <c r="G183" s="67" t="s">
        <v>2551</v>
      </c>
    </row>
    <row r="184" spans="1:7" ht="13.5" customHeight="1">
      <c r="A184" s="67"/>
      <c r="B184" s="67" t="s">
        <v>346</v>
      </c>
      <c r="C184" s="67" t="s">
        <v>347</v>
      </c>
      <c r="D184" s="1">
        <v>1</v>
      </c>
      <c r="E184" s="1" t="s">
        <v>1752</v>
      </c>
      <c r="F184" s="486">
        <v>300</v>
      </c>
      <c r="G184" s="67" t="s">
        <v>2551</v>
      </c>
    </row>
    <row r="185" spans="1:7" ht="13.5" customHeight="1">
      <c r="A185" s="67"/>
      <c r="B185" s="67" t="s">
        <v>348</v>
      </c>
      <c r="C185" s="67" t="s">
        <v>349</v>
      </c>
      <c r="D185" s="1">
        <v>1</v>
      </c>
      <c r="E185" s="1" t="s">
        <v>1761</v>
      </c>
      <c r="F185" s="485">
        <v>3600</v>
      </c>
      <c r="G185" s="67" t="s">
        <v>2551</v>
      </c>
    </row>
    <row r="186" spans="1:7" ht="13.5" customHeight="1">
      <c r="A186" s="67"/>
      <c r="B186" s="67" t="s">
        <v>350</v>
      </c>
      <c r="C186" s="67" t="s">
        <v>351</v>
      </c>
      <c r="D186" s="1">
        <v>1</v>
      </c>
      <c r="E186" s="1" t="s">
        <v>1761</v>
      </c>
      <c r="F186" s="485">
        <v>400</v>
      </c>
      <c r="G186" s="67" t="s">
        <v>2551</v>
      </c>
    </row>
    <row r="187" spans="1:7" ht="13.5" customHeight="1">
      <c r="A187" s="67"/>
      <c r="B187" s="67" t="s">
        <v>352</v>
      </c>
      <c r="C187" s="67" t="s">
        <v>361</v>
      </c>
      <c r="D187" s="1">
        <v>1</v>
      </c>
      <c r="E187" s="1" t="s">
        <v>1754</v>
      </c>
      <c r="F187" s="485">
        <v>1849</v>
      </c>
      <c r="G187" s="67" t="s">
        <v>2551</v>
      </c>
    </row>
    <row r="188" spans="1:7" ht="13.5" customHeight="1">
      <c r="A188" s="67"/>
      <c r="B188" s="67" t="s">
        <v>1385</v>
      </c>
      <c r="C188" s="67" t="s">
        <v>362</v>
      </c>
      <c r="D188" s="1">
        <v>1</v>
      </c>
      <c r="E188" s="1" t="s">
        <v>1321</v>
      </c>
      <c r="F188" s="485">
        <v>1500</v>
      </c>
      <c r="G188" s="67" t="s">
        <v>2551</v>
      </c>
    </row>
    <row r="189" spans="1:7" ht="13.5" customHeight="1">
      <c r="A189" s="67"/>
      <c r="B189" s="67" t="s">
        <v>363</v>
      </c>
      <c r="C189" s="67" t="s">
        <v>364</v>
      </c>
      <c r="D189" s="1">
        <v>1</v>
      </c>
      <c r="E189" s="1" t="s">
        <v>1756</v>
      </c>
      <c r="F189" s="483">
        <v>4140</v>
      </c>
      <c r="G189" s="67" t="s">
        <v>2551</v>
      </c>
    </row>
    <row r="190" spans="1:7" ht="13.5" customHeight="1">
      <c r="A190" s="67"/>
      <c r="B190" s="67" t="s">
        <v>363</v>
      </c>
      <c r="C190" s="67" t="s">
        <v>365</v>
      </c>
      <c r="D190" s="1">
        <v>1</v>
      </c>
      <c r="E190" s="1" t="s">
        <v>1756</v>
      </c>
      <c r="F190" s="483">
        <v>5170</v>
      </c>
      <c r="G190" s="67" t="s">
        <v>2551</v>
      </c>
    </row>
    <row r="191" spans="1:7" ht="13.5" customHeight="1">
      <c r="A191" s="67"/>
      <c r="B191" s="67" t="s">
        <v>363</v>
      </c>
      <c r="C191" s="67" t="s">
        <v>366</v>
      </c>
      <c r="D191" s="1">
        <v>1</v>
      </c>
      <c r="E191" s="1" t="s">
        <v>1756</v>
      </c>
      <c r="F191" s="483">
        <v>6250</v>
      </c>
      <c r="G191" s="67" t="s">
        <v>2551</v>
      </c>
    </row>
    <row r="192" spans="1:7" ht="13.5" customHeight="1">
      <c r="A192" s="67"/>
      <c r="B192" s="67" t="s">
        <v>363</v>
      </c>
      <c r="C192" s="67" t="s">
        <v>367</v>
      </c>
      <c r="D192" s="1">
        <v>1</v>
      </c>
      <c r="E192" s="1" t="s">
        <v>1756</v>
      </c>
      <c r="F192" s="483">
        <v>10950</v>
      </c>
      <c r="G192" s="67" t="s">
        <v>2551</v>
      </c>
    </row>
    <row r="193" spans="1:7" ht="13.5" customHeight="1">
      <c r="A193" s="67"/>
      <c r="B193" s="67" t="s">
        <v>368</v>
      </c>
      <c r="C193" s="67" t="s">
        <v>369</v>
      </c>
      <c r="D193" s="1">
        <v>1</v>
      </c>
      <c r="E193" s="1" t="s">
        <v>1754</v>
      </c>
      <c r="F193" s="483">
        <v>3700</v>
      </c>
      <c r="G193" s="67" t="s">
        <v>2551</v>
      </c>
    </row>
    <row r="194" spans="1:7" ht="13.5" customHeight="1">
      <c r="A194" s="67"/>
      <c r="B194" s="67" t="s">
        <v>370</v>
      </c>
      <c r="C194" s="67" t="s">
        <v>371</v>
      </c>
      <c r="D194" s="1">
        <v>1</v>
      </c>
      <c r="E194" s="1" t="s">
        <v>1754</v>
      </c>
      <c r="F194" s="483">
        <v>-2000</v>
      </c>
      <c r="G194" s="67" t="s">
        <v>2551</v>
      </c>
    </row>
    <row r="195" spans="1:7" ht="13.5" customHeight="1">
      <c r="A195" s="67"/>
      <c r="B195" s="67" t="s">
        <v>372</v>
      </c>
      <c r="C195" s="67" t="s">
        <v>373</v>
      </c>
      <c r="D195" s="1">
        <v>1</v>
      </c>
      <c r="E195" s="1" t="s">
        <v>1752</v>
      </c>
      <c r="F195" s="485">
        <v>932</v>
      </c>
      <c r="G195" s="67" t="s">
        <v>2551</v>
      </c>
    </row>
    <row r="196" spans="1:7" ht="13.5" customHeight="1">
      <c r="A196" s="67"/>
      <c r="B196" s="67" t="s">
        <v>372</v>
      </c>
      <c r="C196" s="67" t="s">
        <v>374</v>
      </c>
      <c r="D196" s="1">
        <v>1</v>
      </c>
      <c r="E196" s="1" t="s">
        <v>1752</v>
      </c>
      <c r="F196" s="485">
        <v>1694</v>
      </c>
      <c r="G196" s="67" t="s">
        <v>2551</v>
      </c>
    </row>
    <row r="197" spans="1:7" ht="13.5" customHeight="1">
      <c r="A197" s="67"/>
      <c r="B197" s="67" t="s">
        <v>375</v>
      </c>
      <c r="C197" s="67" t="s">
        <v>376</v>
      </c>
      <c r="D197" s="1">
        <v>1</v>
      </c>
      <c r="E197" s="1" t="s">
        <v>1019</v>
      </c>
      <c r="F197" s="485">
        <v>17803</v>
      </c>
      <c r="G197" s="67" t="s">
        <v>2551</v>
      </c>
    </row>
    <row r="198" spans="1:7" ht="13.5" customHeight="1">
      <c r="A198" s="67"/>
      <c r="B198" s="67" t="s">
        <v>377</v>
      </c>
      <c r="C198" s="67" t="s">
        <v>378</v>
      </c>
      <c r="D198" s="1">
        <v>1</v>
      </c>
      <c r="E198" s="1" t="s">
        <v>1758</v>
      </c>
      <c r="F198" s="835">
        <v>1119030</v>
      </c>
      <c r="G198" s="67" t="s">
        <v>1898</v>
      </c>
    </row>
    <row r="199" spans="1:7" ht="13.5" customHeight="1">
      <c r="A199" s="67"/>
      <c r="B199" s="67" t="s">
        <v>377</v>
      </c>
      <c r="C199" s="67" t="s">
        <v>379</v>
      </c>
      <c r="D199" s="1">
        <v>1</v>
      </c>
      <c r="E199" s="1" t="s">
        <v>1758</v>
      </c>
      <c r="F199" s="835">
        <v>1108030</v>
      </c>
      <c r="G199" s="67" t="s">
        <v>1898</v>
      </c>
    </row>
    <row r="200" spans="1:7" ht="13.5" customHeight="1">
      <c r="A200" s="67"/>
      <c r="B200" s="67" t="s">
        <v>377</v>
      </c>
      <c r="C200" s="67" t="s">
        <v>380</v>
      </c>
      <c r="D200" s="1">
        <v>1</v>
      </c>
      <c r="E200" s="1" t="s">
        <v>1758</v>
      </c>
      <c r="F200" s="835">
        <v>1102530</v>
      </c>
      <c r="G200" s="67" t="s">
        <v>1898</v>
      </c>
    </row>
    <row r="201" spans="1:7" ht="13.5" customHeight="1">
      <c r="A201" s="67" t="s">
        <v>1024</v>
      </c>
      <c r="B201" s="67" t="s">
        <v>778</v>
      </c>
      <c r="C201" s="67" t="s">
        <v>381</v>
      </c>
      <c r="D201" s="1">
        <v>1</v>
      </c>
      <c r="E201" s="1" t="s">
        <v>1012</v>
      </c>
      <c r="F201" s="676">
        <v>3300</v>
      </c>
      <c r="G201" s="67" t="s">
        <v>1898</v>
      </c>
    </row>
    <row r="202" spans="1:7" ht="13.5" customHeight="1">
      <c r="A202" s="67"/>
      <c r="B202" s="67" t="s">
        <v>382</v>
      </c>
      <c r="C202" s="67" t="s">
        <v>2473</v>
      </c>
      <c r="D202" s="1">
        <v>1</v>
      </c>
      <c r="E202" s="1" t="s">
        <v>1014</v>
      </c>
      <c r="F202" s="836">
        <v>54560</v>
      </c>
      <c r="G202" s="67" t="s">
        <v>1898</v>
      </c>
    </row>
    <row r="203" spans="1:7" ht="13.5" customHeight="1">
      <c r="A203" s="67"/>
      <c r="B203" s="67" t="s">
        <v>382</v>
      </c>
      <c r="C203" s="67" t="s">
        <v>2052</v>
      </c>
      <c r="D203" s="1">
        <v>1</v>
      </c>
      <c r="E203" s="1" t="s">
        <v>1014</v>
      </c>
      <c r="F203" s="836">
        <v>55780</v>
      </c>
      <c r="G203" s="67" t="s">
        <v>1898</v>
      </c>
    </row>
    <row r="204" spans="1:7" ht="13.5" customHeight="1">
      <c r="A204" s="67"/>
      <c r="B204" s="67" t="s">
        <v>382</v>
      </c>
      <c r="C204" s="67" t="s">
        <v>2472</v>
      </c>
      <c r="D204" s="1">
        <v>1</v>
      </c>
      <c r="E204" s="1" t="s">
        <v>1014</v>
      </c>
      <c r="F204" s="677">
        <v>96830</v>
      </c>
      <c r="G204" s="67" t="s">
        <v>1898</v>
      </c>
    </row>
    <row r="205" spans="1:7" ht="13.5" customHeight="1">
      <c r="A205" s="67"/>
      <c r="B205" s="67" t="s">
        <v>382</v>
      </c>
      <c r="C205" s="67" t="s">
        <v>1445</v>
      </c>
      <c r="D205" s="1">
        <v>1</v>
      </c>
      <c r="E205" s="1" t="s">
        <v>1014</v>
      </c>
      <c r="F205" s="836">
        <v>99120</v>
      </c>
      <c r="G205" s="67" t="s">
        <v>1898</v>
      </c>
    </row>
    <row r="206" spans="1:7" ht="13.5" customHeight="1">
      <c r="A206" s="67"/>
      <c r="B206" s="67" t="s">
        <v>382</v>
      </c>
      <c r="C206" s="67" t="s">
        <v>2470</v>
      </c>
      <c r="D206" s="1">
        <v>1</v>
      </c>
      <c r="E206" s="1" t="s">
        <v>1014</v>
      </c>
      <c r="F206" s="677">
        <v>100500</v>
      </c>
      <c r="G206" s="67" t="s">
        <v>1898</v>
      </c>
    </row>
    <row r="207" spans="1:7" ht="13.5" customHeight="1">
      <c r="A207" s="67"/>
      <c r="B207" s="67" t="s">
        <v>382</v>
      </c>
      <c r="C207" s="67" t="s">
        <v>1446</v>
      </c>
      <c r="D207" s="1">
        <v>1</v>
      </c>
      <c r="E207" s="1" t="s">
        <v>1014</v>
      </c>
      <c r="F207" s="836">
        <v>102680</v>
      </c>
      <c r="G207" s="67" t="s">
        <v>1898</v>
      </c>
    </row>
    <row r="208" spans="1:7" ht="13.5" customHeight="1">
      <c r="A208" s="67"/>
      <c r="B208" s="67" t="s">
        <v>382</v>
      </c>
      <c r="C208" s="67" t="s">
        <v>2471</v>
      </c>
      <c r="D208" s="1">
        <v>1</v>
      </c>
      <c r="E208" s="1" t="s">
        <v>1014</v>
      </c>
      <c r="F208" s="836">
        <v>99960</v>
      </c>
      <c r="G208" s="67" t="s">
        <v>1898</v>
      </c>
    </row>
    <row r="209" spans="1:7" ht="13.5" customHeight="1">
      <c r="A209" s="67"/>
      <c r="B209" s="67" t="s">
        <v>382</v>
      </c>
      <c r="C209" s="67" t="s">
        <v>1447</v>
      </c>
      <c r="D209" s="1">
        <v>1</v>
      </c>
      <c r="E209" s="1" t="s">
        <v>1014</v>
      </c>
      <c r="F209" s="677">
        <v>105840</v>
      </c>
      <c r="G209" s="67" t="s">
        <v>1898</v>
      </c>
    </row>
    <row r="210" spans="1:7" ht="13.5" customHeight="1">
      <c r="A210" s="67"/>
      <c r="B210" s="67" t="s">
        <v>383</v>
      </c>
      <c r="C210" s="67" t="s">
        <v>384</v>
      </c>
      <c r="D210" s="1">
        <v>1</v>
      </c>
      <c r="E210" s="1" t="s">
        <v>14</v>
      </c>
      <c r="F210" s="677">
        <v>49100</v>
      </c>
      <c r="G210" s="67" t="s">
        <v>1898</v>
      </c>
    </row>
    <row r="211" spans="1:7" ht="13.5" customHeight="1">
      <c r="A211" s="67"/>
      <c r="B211" s="67" t="s">
        <v>383</v>
      </c>
      <c r="C211" s="67" t="s">
        <v>385</v>
      </c>
      <c r="D211" s="1">
        <v>1</v>
      </c>
      <c r="E211" s="1" t="s">
        <v>1015</v>
      </c>
      <c r="F211" s="677">
        <v>55490</v>
      </c>
      <c r="G211" s="67" t="s">
        <v>1898</v>
      </c>
    </row>
    <row r="212" spans="1:7" ht="13.5" customHeight="1">
      <c r="A212" s="67"/>
      <c r="B212" s="67" t="s">
        <v>383</v>
      </c>
      <c r="C212" s="67" t="s">
        <v>386</v>
      </c>
      <c r="D212" s="1">
        <v>1</v>
      </c>
      <c r="E212" s="1" t="s">
        <v>1015</v>
      </c>
      <c r="F212" s="677">
        <v>71980</v>
      </c>
      <c r="G212" s="67" t="s">
        <v>1898</v>
      </c>
    </row>
    <row r="213" spans="1:7" ht="13.5" customHeight="1">
      <c r="A213" s="67"/>
      <c r="B213" s="67" t="s">
        <v>383</v>
      </c>
      <c r="C213" s="67" t="s">
        <v>387</v>
      </c>
      <c r="D213" s="1">
        <v>1</v>
      </c>
      <c r="E213" s="1" t="s">
        <v>1015</v>
      </c>
      <c r="F213" s="677">
        <v>98210</v>
      </c>
      <c r="G213" s="67" t="s">
        <v>1898</v>
      </c>
    </row>
    <row r="214" spans="1:7" ht="13.5" customHeight="1">
      <c r="A214" s="67"/>
      <c r="B214" s="67" t="s">
        <v>383</v>
      </c>
      <c r="C214" s="67" t="s">
        <v>388</v>
      </c>
      <c r="D214" s="1">
        <v>1</v>
      </c>
      <c r="E214" s="1" t="s">
        <v>1015</v>
      </c>
      <c r="F214" s="677">
        <v>134200</v>
      </c>
      <c r="G214" s="67" t="s">
        <v>1898</v>
      </c>
    </row>
    <row r="215" spans="1:7" ht="13.5" customHeight="1">
      <c r="A215" s="67"/>
      <c r="B215" s="67" t="s">
        <v>383</v>
      </c>
      <c r="C215" s="67" t="s">
        <v>389</v>
      </c>
      <c r="D215" s="1">
        <v>1</v>
      </c>
      <c r="E215" s="1" t="s">
        <v>1015</v>
      </c>
      <c r="F215" s="677">
        <v>173330</v>
      </c>
      <c r="G215" s="67" t="s">
        <v>1898</v>
      </c>
    </row>
    <row r="216" spans="1:7" ht="13.5" customHeight="1">
      <c r="A216" s="67"/>
      <c r="B216" s="67" t="s">
        <v>383</v>
      </c>
      <c r="C216" s="67" t="s">
        <v>390</v>
      </c>
      <c r="D216" s="1">
        <v>1</v>
      </c>
      <c r="E216" s="1" t="s">
        <v>1015</v>
      </c>
      <c r="F216" s="677">
        <v>219890</v>
      </c>
      <c r="G216" s="67" t="s">
        <v>1898</v>
      </c>
    </row>
    <row r="217" spans="1:7" ht="13.5" customHeight="1">
      <c r="A217" s="67"/>
      <c r="B217" s="67" t="s">
        <v>383</v>
      </c>
      <c r="C217" s="67" t="s">
        <v>391</v>
      </c>
      <c r="D217" s="1">
        <v>1</v>
      </c>
      <c r="E217" s="1" t="s">
        <v>1015</v>
      </c>
      <c r="F217" s="677">
        <v>273410</v>
      </c>
      <c r="G217" s="67" t="s">
        <v>1898</v>
      </c>
    </row>
    <row r="218" spans="1:7" ht="13.5" customHeight="1">
      <c r="A218" s="67"/>
      <c r="B218" s="67" t="s">
        <v>383</v>
      </c>
      <c r="C218" s="67" t="s">
        <v>392</v>
      </c>
      <c r="D218" s="1">
        <v>1</v>
      </c>
      <c r="E218" s="1" t="s">
        <v>1015</v>
      </c>
      <c r="F218" s="677">
        <v>384390</v>
      </c>
      <c r="G218" s="67" t="s">
        <v>1898</v>
      </c>
    </row>
    <row r="219" spans="1:7" ht="13.5" customHeight="1">
      <c r="A219" s="67"/>
      <c r="B219" s="67" t="s">
        <v>383</v>
      </c>
      <c r="C219" s="67" t="s">
        <v>2515</v>
      </c>
      <c r="D219" s="1">
        <v>1</v>
      </c>
      <c r="E219" s="1" t="s">
        <v>1015</v>
      </c>
      <c r="F219" s="677">
        <v>727970</v>
      </c>
      <c r="G219" s="67" t="s">
        <v>1898</v>
      </c>
    </row>
    <row r="220" spans="1:7" ht="13.5" customHeight="1">
      <c r="A220" s="67"/>
      <c r="B220" s="67" t="s">
        <v>393</v>
      </c>
      <c r="C220" s="67" t="s">
        <v>745</v>
      </c>
      <c r="D220" s="1">
        <v>1</v>
      </c>
      <c r="E220" s="1" t="s">
        <v>1015</v>
      </c>
      <c r="F220" s="677">
        <v>44100</v>
      </c>
      <c r="G220" s="67" t="s">
        <v>1898</v>
      </c>
    </row>
    <row r="221" spans="1:7" ht="13.5" customHeight="1">
      <c r="A221" s="67"/>
      <c r="B221" s="67" t="s">
        <v>393</v>
      </c>
      <c r="C221" s="67" t="s">
        <v>394</v>
      </c>
      <c r="D221" s="1">
        <v>1</v>
      </c>
      <c r="E221" s="1" t="s">
        <v>1015</v>
      </c>
      <c r="F221" s="677">
        <v>61300</v>
      </c>
      <c r="G221" s="67" t="s">
        <v>1898</v>
      </c>
    </row>
    <row r="222" spans="1:7" ht="13.5" customHeight="1">
      <c r="A222" s="67"/>
      <c r="B222" s="67" t="s">
        <v>393</v>
      </c>
      <c r="C222" s="67" t="s">
        <v>395</v>
      </c>
      <c r="D222" s="1">
        <v>1</v>
      </c>
      <c r="E222" s="1" t="s">
        <v>1015</v>
      </c>
      <c r="F222" s="677">
        <v>67800</v>
      </c>
      <c r="G222" s="67" t="s">
        <v>1898</v>
      </c>
    </row>
    <row r="223" spans="1:7" ht="13.5" customHeight="1">
      <c r="A223" s="67"/>
      <c r="B223" s="67" t="s">
        <v>393</v>
      </c>
      <c r="C223" s="67" t="s">
        <v>396</v>
      </c>
      <c r="D223" s="1">
        <v>1</v>
      </c>
      <c r="E223" s="1" t="s">
        <v>1015</v>
      </c>
      <c r="F223" s="678">
        <v>88084</v>
      </c>
      <c r="G223" s="67" t="s">
        <v>1898</v>
      </c>
    </row>
    <row r="224" spans="1:7" ht="13.5" customHeight="1">
      <c r="A224" s="67"/>
      <c r="B224" s="67" t="s">
        <v>393</v>
      </c>
      <c r="C224" s="67" t="s">
        <v>397</v>
      </c>
      <c r="D224" s="1">
        <v>1</v>
      </c>
      <c r="E224" s="1" t="s">
        <v>1015</v>
      </c>
      <c r="F224" s="677">
        <v>94100</v>
      </c>
      <c r="G224" s="67" t="s">
        <v>1898</v>
      </c>
    </row>
    <row r="225" spans="1:7" ht="13.5" customHeight="1">
      <c r="A225" s="67"/>
      <c r="B225" s="67" t="s">
        <v>393</v>
      </c>
      <c r="C225" s="67" t="s">
        <v>398</v>
      </c>
      <c r="D225" s="1">
        <v>1</v>
      </c>
      <c r="E225" s="1" t="s">
        <v>1015</v>
      </c>
      <c r="F225" s="678">
        <v>103900</v>
      </c>
      <c r="G225" s="67" t="s">
        <v>1898</v>
      </c>
    </row>
    <row r="226" spans="1:7" ht="13.5" customHeight="1">
      <c r="A226" s="67"/>
      <c r="B226" s="67" t="s">
        <v>393</v>
      </c>
      <c r="C226" s="67" t="s">
        <v>456</v>
      </c>
      <c r="D226" s="1">
        <v>1</v>
      </c>
      <c r="E226" s="1" t="s">
        <v>1015</v>
      </c>
      <c r="F226" s="677">
        <v>114900</v>
      </c>
      <c r="G226" s="67" t="s">
        <v>1898</v>
      </c>
    </row>
    <row r="227" spans="1:7" ht="13.5" customHeight="1">
      <c r="A227" s="67"/>
      <c r="B227" s="67" t="s">
        <v>393</v>
      </c>
      <c r="C227" s="67" t="s">
        <v>457</v>
      </c>
      <c r="D227" s="1">
        <v>1</v>
      </c>
      <c r="E227" s="1" t="s">
        <v>1015</v>
      </c>
      <c r="F227" s="677">
        <v>139000</v>
      </c>
      <c r="G227" s="67" t="s">
        <v>1898</v>
      </c>
    </row>
    <row r="228" spans="1:7" ht="13.5" customHeight="1">
      <c r="A228" s="67"/>
      <c r="B228" s="67" t="s">
        <v>393</v>
      </c>
      <c r="C228" s="67" t="s">
        <v>1524</v>
      </c>
      <c r="D228" s="1">
        <v>1</v>
      </c>
      <c r="E228" s="1" t="s">
        <v>1015</v>
      </c>
      <c r="F228" s="677">
        <v>176800</v>
      </c>
      <c r="G228" s="67" t="s">
        <v>1898</v>
      </c>
    </row>
    <row r="229" spans="1:7" ht="13.5" customHeight="1">
      <c r="A229" s="67"/>
      <c r="B229" s="67" t="s">
        <v>393</v>
      </c>
      <c r="C229" s="67" t="s">
        <v>458</v>
      </c>
      <c r="D229" s="1">
        <v>1</v>
      </c>
      <c r="E229" s="1" t="s">
        <v>1015</v>
      </c>
      <c r="F229" s="677">
        <v>158500</v>
      </c>
      <c r="G229" s="67" t="s">
        <v>1898</v>
      </c>
    </row>
    <row r="230" spans="1:7" ht="13.5" customHeight="1">
      <c r="A230" s="67"/>
      <c r="B230" s="67" t="s">
        <v>393</v>
      </c>
      <c r="C230" s="67" t="s">
        <v>459</v>
      </c>
      <c r="D230" s="1">
        <v>1</v>
      </c>
      <c r="E230" s="1" t="s">
        <v>1015</v>
      </c>
      <c r="F230" s="677">
        <v>170400</v>
      </c>
      <c r="G230" s="67" t="s">
        <v>1898</v>
      </c>
    </row>
    <row r="231" spans="1:7" ht="13.5" customHeight="1">
      <c r="A231" s="67"/>
      <c r="B231" s="67" t="s">
        <v>393</v>
      </c>
      <c r="C231" s="67" t="s">
        <v>460</v>
      </c>
      <c r="D231" s="1">
        <v>1</v>
      </c>
      <c r="E231" s="1" t="s">
        <v>1015</v>
      </c>
      <c r="F231" s="677">
        <v>192000</v>
      </c>
      <c r="G231" s="67" t="s">
        <v>1898</v>
      </c>
    </row>
    <row r="232" spans="1:7" ht="13.5" customHeight="1">
      <c r="A232" s="67"/>
      <c r="B232" s="67" t="s">
        <v>393</v>
      </c>
      <c r="C232" s="67" t="s">
        <v>1795</v>
      </c>
      <c r="D232" s="1">
        <v>1</v>
      </c>
      <c r="E232" s="1" t="s">
        <v>1015</v>
      </c>
      <c r="F232" s="677">
        <v>236700</v>
      </c>
      <c r="G232" s="67" t="s">
        <v>1898</v>
      </c>
    </row>
    <row r="233" spans="1:7" ht="13.5" customHeight="1">
      <c r="A233" s="67"/>
      <c r="B233" s="67" t="s">
        <v>393</v>
      </c>
      <c r="C233" s="67" t="s">
        <v>1823</v>
      </c>
      <c r="D233" s="1">
        <v>1</v>
      </c>
      <c r="E233" s="1" t="s">
        <v>1015</v>
      </c>
      <c r="F233" s="677">
        <v>287900</v>
      </c>
      <c r="G233" s="67" t="s">
        <v>1898</v>
      </c>
    </row>
    <row r="234" spans="1:7" ht="13.5" customHeight="1">
      <c r="A234" s="67"/>
      <c r="B234" s="67" t="s">
        <v>1762</v>
      </c>
      <c r="C234" s="67" t="s">
        <v>1763</v>
      </c>
      <c r="D234" s="1">
        <v>1</v>
      </c>
      <c r="E234" s="1" t="s">
        <v>1015</v>
      </c>
      <c r="F234" s="677">
        <v>334800</v>
      </c>
      <c r="G234" s="67" t="s">
        <v>1898</v>
      </c>
    </row>
    <row r="235" spans="1:7" ht="13.5" customHeight="1">
      <c r="A235" s="67"/>
      <c r="B235" s="67" t="s">
        <v>1764</v>
      </c>
      <c r="C235" s="67" t="s">
        <v>2087</v>
      </c>
      <c r="D235" s="1">
        <v>1</v>
      </c>
      <c r="E235" s="1" t="s">
        <v>1015</v>
      </c>
      <c r="F235" s="677">
        <v>159600</v>
      </c>
      <c r="G235" s="67" t="s">
        <v>1898</v>
      </c>
    </row>
    <row r="236" spans="1:7" ht="13.5" customHeight="1">
      <c r="A236" s="67"/>
      <c r="B236" s="67" t="s">
        <v>1764</v>
      </c>
      <c r="C236" s="67" t="s">
        <v>1765</v>
      </c>
      <c r="D236" s="1">
        <v>1</v>
      </c>
      <c r="E236" s="1" t="s">
        <v>1015</v>
      </c>
      <c r="F236" s="677">
        <v>260800</v>
      </c>
      <c r="G236" s="67" t="s">
        <v>1898</v>
      </c>
    </row>
    <row r="237" spans="1:7" ht="13.5" customHeight="1">
      <c r="A237" s="67"/>
      <c r="B237" s="67" t="s">
        <v>2080</v>
      </c>
      <c r="C237" s="67" t="s">
        <v>2075</v>
      </c>
      <c r="D237" s="1">
        <v>1</v>
      </c>
      <c r="E237" s="1" t="s">
        <v>1015</v>
      </c>
      <c r="F237" s="677">
        <v>344700</v>
      </c>
      <c r="G237" s="67" t="s">
        <v>1898</v>
      </c>
    </row>
    <row r="238" spans="1:7" ht="13.5" customHeight="1">
      <c r="A238" s="67"/>
      <c r="B238" s="67" t="s">
        <v>1764</v>
      </c>
      <c r="C238" s="67" t="s">
        <v>2069</v>
      </c>
      <c r="D238" s="1">
        <v>1</v>
      </c>
      <c r="E238" s="1" t="s">
        <v>1015</v>
      </c>
      <c r="F238" s="677">
        <v>525300</v>
      </c>
      <c r="G238" s="67" t="s">
        <v>1898</v>
      </c>
    </row>
    <row r="239" spans="1:7" ht="13.5" customHeight="1">
      <c r="A239" s="67"/>
      <c r="B239" s="67" t="s">
        <v>1764</v>
      </c>
      <c r="C239" s="67" t="s">
        <v>1921</v>
      </c>
      <c r="D239" s="1">
        <v>1</v>
      </c>
      <c r="E239" s="1" t="s">
        <v>14</v>
      </c>
      <c r="F239" s="677">
        <v>634100</v>
      </c>
      <c r="G239" s="67" t="s">
        <v>1898</v>
      </c>
    </row>
    <row r="240" spans="1:7" ht="13.5" customHeight="1">
      <c r="A240" s="67" t="s">
        <v>461</v>
      </c>
      <c r="B240" s="67" t="s">
        <v>781</v>
      </c>
      <c r="C240" s="67"/>
      <c r="D240" s="1">
        <v>1</v>
      </c>
      <c r="E240" s="1" t="s">
        <v>1014</v>
      </c>
      <c r="F240" s="482">
        <v>17000</v>
      </c>
      <c r="G240" s="67" t="s">
        <v>1904</v>
      </c>
    </row>
    <row r="241" spans="1:7" ht="13.5" customHeight="1">
      <c r="A241" s="67"/>
      <c r="B241" s="67" t="s">
        <v>992</v>
      </c>
      <c r="C241" s="67" t="s">
        <v>462</v>
      </c>
      <c r="D241" s="1">
        <v>1</v>
      </c>
      <c r="E241" s="1" t="s">
        <v>1014</v>
      </c>
      <c r="F241" s="482">
        <v>14000</v>
      </c>
      <c r="G241" s="67" t="s">
        <v>1904</v>
      </c>
    </row>
    <row r="242" spans="1:7" ht="13.5" customHeight="1">
      <c r="A242" s="67"/>
      <c r="B242" s="67" t="s">
        <v>992</v>
      </c>
      <c r="C242" s="67" t="s">
        <v>463</v>
      </c>
      <c r="D242" s="1">
        <v>1</v>
      </c>
      <c r="E242" s="1" t="s">
        <v>1014</v>
      </c>
      <c r="F242" s="483">
        <v>13000</v>
      </c>
      <c r="G242" s="67" t="s">
        <v>1904</v>
      </c>
    </row>
    <row r="243" spans="1:7" ht="13.5" customHeight="1">
      <c r="A243" s="67"/>
      <c r="B243" s="67" t="s">
        <v>610</v>
      </c>
      <c r="C243" s="67" t="s">
        <v>464</v>
      </c>
      <c r="D243" s="1">
        <v>1</v>
      </c>
      <c r="E243" s="1" t="s">
        <v>1014</v>
      </c>
      <c r="F243" s="483">
        <v>9000</v>
      </c>
      <c r="G243" s="67" t="s">
        <v>1904</v>
      </c>
    </row>
    <row r="244" spans="1:7" ht="13.5" customHeight="1">
      <c r="A244" s="67"/>
      <c r="B244" s="67" t="s">
        <v>610</v>
      </c>
      <c r="C244" s="67" t="s">
        <v>465</v>
      </c>
      <c r="D244" s="1">
        <v>1</v>
      </c>
      <c r="E244" s="1" t="s">
        <v>1014</v>
      </c>
      <c r="F244" s="483">
        <v>9000</v>
      </c>
      <c r="G244" s="67" t="s">
        <v>1904</v>
      </c>
    </row>
    <row r="245" spans="1:7" ht="13.5" customHeight="1">
      <c r="A245" s="67"/>
      <c r="B245" s="67" t="s">
        <v>466</v>
      </c>
      <c r="C245" s="67"/>
      <c r="D245" s="1">
        <v>1</v>
      </c>
      <c r="E245" s="1" t="s">
        <v>1406</v>
      </c>
      <c r="F245" s="483">
        <v>12000</v>
      </c>
      <c r="G245" s="67" t="s">
        <v>1904</v>
      </c>
    </row>
    <row r="246" spans="1:7" ht="13.5" customHeight="1">
      <c r="A246" s="67"/>
      <c r="B246" s="67" t="s">
        <v>784</v>
      </c>
      <c r="C246" s="67"/>
      <c r="D246" s="1">
        <v>1</v>
      </c>
      <c r="E246" s="1" t="s">
        <v>1014</v>
      </c>
      <c r="F246" s="483">
        <v>12000</v>
      </c>
      <c r="G246" s="67" t="s">
        <v>1904</v>
      </c>
    </row>
    <row r="247" spans="1:7" ht="13.5" customHeight="1">
      <c r="A247" s="67" t="s">
        <v>467</v>
      </c>
      <c r="B247" s="67" t="s">
        <v>1899</v>
      </c>
      <c r="C247" s="67" t="s">
        <v>468</v>
      </c>
      <c r="D247" s="1">
        <v>1</v>
      </c>
      <c r="E247" s="1" t="s">
        <v>1022</v>
      </c>
      <c r="F247" s="483">
        <v>370</v>
      </c>
      <c r="G247" s="67" t="s">
        <v>2551</v>
      </c>
    </row>
    <row r="248" spans="1:7" ht="13.5" customHeight="1">
      <c r="A248" s="67"/>
      <c r="B248" s="67" t="s">
        <v>469</v>
      </c>
      <c r="C248" s="67" t="s">
        <v>470</v>
      </c>
      <c r="D248" s="1">
        <v>1</v>
      </c>
      <c r="E248" s="1" t="s">
        <v>539</v>
      </c>
      <c r="F248" s="410">
        <v>4690</v>
      </c>
      <c r="G248" s="67" t="s">
        <v>2551</v>
      </c>
    </row>
    <row r="249" spans="1:7" ht="13.5" customHeight="1">
      <c r="A249" s="67"/>
      <c r="B249" s="67" t="s">
        <v>471</v>
      </c>
      <c r="C249" s="67" t="s">
        <v>472</v>
      </c>
      <c r="D249" s="1">
        <v>1</v>
      </c>
      <c r="E249" s="1" t="s">
        <v>1022</v>
      </c>
      <c r="F249" s="482">
        <v>310</v>
      </c>
      <c r="G249" s="67" t="s">
        <v>2551</v>
      </c>
    </row>
    <row r="250" spans="1:7" ht="13.5" customHeight="1">
      <c r="A250" s="67"/>
      <c r="B250" s="67" t="s">
        <v>473</v>
      </c>
      <c r="C250" s="67" t="s">
        <v>474</v>
      </c>
      <c r="D250" s="1">
        <v>1</v>
      </c>
      <c r="E250" s="1" t="s">
        <v>1018</v>
      </c>
      <c r="F250" s="410">
        <v>1650</v>
      </c>
      <c r="G250" s="67" t="s">
        <v>2551</v>
      </c>
    </row>
    <row r="251" spans="1:7" ht="13.5" customHeight="1">
      <c r="A251" s="67"/>
      <c r="B251" s="67" t="s">
        <v>1537</v>
      </c>
      <c r="C251" s="67" t="s">
        <v>1538</v>
      </c>
      <c r="D251" s="1">
        <v>1</v>
      </c>
      <c r="E251" s="1" t="s">
        <v>1527</v>
      </c>
      <c r="F251" s="487">
        <v>4500</v>
      </c>
      <c r="G251" s="67" t="s">
        <v>2551</v>
      </c>
    </row>
    <row r="252" spans="1:7" ht="13.5" customHeight="1">
      <c r="A252" s="67"/>
      <c r="B252" s="67" t="s">
        <v>1552</v>
      </c>
      <c r="C252" s="67" t="s">
        <v>1840</v>
      </c>
      <c r="D252" s="1">
        <v>1</v>
      </c>
      <c r="E252" s="1" t="s">
        <v>640</v>
      </c>
      <c r="F252" s="487">
        <v>10500</v>
      </c>
      <c r="G252" s="67" t="s">
        <v>2551</v>
      </c>
    </row>
    <row r="253" spans="1:7" ht="13.5" customHeight="1">
      <c r="A253" s="67"/>
      <c r="B253" s="67" t="s">
        <v>1552</v>
      </c>
      <c r="C253" s="67" t="s">
        <v>1553</v>
      </c>
      <c r="D253" s="1">
        <v>1</v>
      </c>
      <c r="E253" s="1" t="s">
        <v>1526</v>
      </c>
      <c r="F253" s="487">
        <v>15580</v>
      </c>
      <c r="G253" s="67" t="s">
        <v>2551</v>
      </c>
    </row>
    <row r="254" spans="1:7" ht="13.5" customHeight="1">
      <c r="A254" s="67"/>
      <c r="B254" s="67" t="s">
        <v>1552</v>
      </c>
      <c r="C254" s="67" t="s">
        <v>748</v>
      </c>
      <c r="D254" s="1">
        <v>1</v>
      </c>
      <c r="E254" s="1" t="s">
        <v>1526</v>
      </c>
      <c r="F254" s="487">
        <v>16850</v>
      </c>
      <c r="G254" s="67" t="s">
        <v>2551</v>
      </c>
    </row>
    <row r="255" spans="1:7" ht="13.5" customHeight="1">
      <c r="A255" s="67"/>
      <c r="B255" s="67" t="s">
        <v>1552</v>
      </c>
      <c r="C255" s="67" t="s">
        <v>1685</v>
      </c>
      <c r="D255" s="1">
        <v>1</v>
      </c>
      <c r="E255" s="1" t="s">
        <v>640</v>
      </c>
      <c r="F255" s="487">
        <v>21520</v>
      </c>
      <c r="G255" s="67" t="s">
        <v>2551</v>
      </c>
    </row>
    <row r="256" spans="1:7" ht="13.5" customHeight="1">
      <c r="A256" s="67"/>
      <c r="B256" s="67" t="s">
        <v>1552</v>
      </c>
      <c r="C256" s="67" t="s">
        <v>2267</v>
      </c>
      <c r="D256" s="1">
        <v>1</v>
      </c>
      <c r="E256" s="1" t="s">
        <v>640</v>
      </c>
      <c r="F256" s="487">
        <v>66530</v>
      </c>
      <c r="G256" s="67" t="s">
        <v>2551</v>
      </c>
    </row>
    <row r="257" spans="1:7" ht="13.5" customHeight="1">
      <c r="A257" s="67"/>
      <c r="B257" s="67" t="s">
        <v>1552</v>
      </c>
      <c r="C257" s="67" t="s">
        <v>2415</v>
      </c>
      <c r="D257" s="1">
        <v>1</v>
      </c>
      <c r="E257" s="1" t="s">
        <v>640</v>
      </c>
      <c r="F257" s="487">
        <v>153000</v>
      </c>
      <c r="G257" s="67" t="s">
        <v>2551</v>
      </c>
    </row>
    <row r="258" spans="1:7" ht="13.5" customHeight="1">
      <c r="A258" s="67"/>
      <c r="B258" s="67" t="s">
        <v>1647</v>
      </c>
      <c r="C258" s="67" t="s">
        <v>1648</v>
      </c>
      <c r="D258" s="1">
        <v>1</v>
      </c>
      <c r="E258" s="1" t="s">
        <v>1650</v>
      </c>
      <c r="F258" s="487">
        <v>28000</v>
      </c>
      <c r="G258" s="67" t="s">
        <v>2551</v>
      </c>
    </row>
    <row r="259" spans="1:7" ht="13.5" customHeight="1">
      <c r="A259" s="67"/>
      <c r="B259" s="67" t="s">
        <v>1647</v>
      </c>
      <c r="C259" s="67" t="s">
        <v>1649</v>
      </c>
      <c r="D259" s="1">
        <v>1</v>
      </c>
      <c r="E259" s="1" t="s">
        <v>1650</v>
      </c>
      <c r="F259" s="487">
        <v>33000</v>
      </c>
      <c r="G259" s="67" t="s">
        <v>2551</v>
      </c>
    </row>
    <row r="260" spans="1:7" ht="13.5" customHeight="1">
      <c r="A260" s="67"/>
      <c r="B260" s="67" t="s">
        <v>1693</v>
      </c>
      <c r="C260" s="67" t="s">
        <v>1694</v>
      </c>
      <c r="D260" s="1">
        <v>1</v>
      </c>
      <c r="E260" s="1" t="s">
        <v>440</v>
      </c>
      <c r="F260" s="487">
        <v>110000</v>
      </c>
      <c r="G260" s="67" t="s">
        <v>1905</v>
      </c>
    </row>
    <row r="261" spans="1:7" ht="13.5" customHeight="1">
      <c r="A261" s="67"/>
      <c r="B261" s="67" t="s">
        <v>1900</v>
      </c>
      <c r="C261" s="67" t="s">
        <v>1901</v>
      </c>
      <c r="D261" s="1">
        <v>1</v>
      </c>
      <c r="E261" s="1" t="s">
        <v>1902</v>
      </c>
      <c r="F261" s="487">
        <v>118000</v>
      </c>
      <c r="G261" s="67" t="s">
        <v>1903</v>
      </c>
    </row>
    <row r="262" spans="1:7" ht="13.5" customHeight="1">
      <c r="A262" s="67"/>
      <c r="B262" s="67" t="s">
        <v>1938</v>
      </c>
      <c r="C262" s="67" t="s">
        <v>1840</v>
      </c>
      <c r="D262" s="1">
        <v>1</v>
      </c>
      <c r="E262" s="1" t="s">
        <v>640</v>
      </c>
      <c r="F262" s="487">
        <v>4650</v>
      </c>
      <c r="G262" s="67" t="s">
        <v>1951</v>
      </c>
    </row>
    <row r="263" spans="1:7" ht="13.5" customHeight="1">
      <c r="A263" s="67"/>
      <c r="B263" s="67" t="s">
        <v>1938</v>
      </c>
      <c r="C263" s="67" t="s">
        <v>1553</v>
      </c>
      <c r="D263" s="1">
        <v>1</v>
      </c>
      <c r="E263" s="1" t="s">
        <v>640</v>
      </c>
      <c r="F263" s="487">
        <v>6200</v>
      </c>
      <c r="G263" s="67" t="s">
        <v>1951</v>
      </c>
    </row>
    <row r="264" spans="1:7" ht="13.5" customHeight="1">
      <c r="A264" s="67"/>
      <c r="B264" s="67" t="s">
        <v>1938</v>
      </c>
      <c r="C264" s="67" t="s">
        <v>747</v>
      </c>
      <c r="D264" s="1">
        <v>1</v>
      </c>
      <c r="E264" s="1" t="s">
        <v>640</v>
      </c>
      <c r="F264" s="487">
        <v>9200</v>
      </c>
      <c r="G264" s="67" t="s">
        <v>1951</v>
      </c>
    </row>
    <row r="265" spans="1:7" ht="13.5" customHeight="1">
      <c r="A265" s="67"/>
      <c r="B265" s="67" t="s">
        <v>1900</v>
      </c>
      <c r="C265" s="67" t="s">
        <v>1991</v>
      </c>
      <c r="D265" s="1">
        <v>1</v>
      </c>
      <c r="E265" s="1" t="s">
        <v>440</v>
      </c>
      <c r="F265" s="487">
        <v>90000</v>
      </c>
      <c r="G265" s="67" t="s">
        <v>1992</v>
      </c>
    </row>
    <row r="266" spans="1:7" ht="13.5" customHeight="1">
      <c r="A266" s="67"/>
      <c r="B266" s="67" t="s">
        <v>2021</v>
      </c>
      <c r="C266" s="67" t="s">
        <v>2020</v>
      </c>
      <c r="D266" s="1">
        <v>1</v>
      </c>
      <c r="E266" s="1" t="s">
        <v>55</v>
      </c>
      <c r="F266" s="487">
        <v>25989</v>
      </c>
      <c r="G266" s="527" t="s">
        <v>2553</v>
      </c>
    </row>
    <row r="267" spans="1:7" ht="13.5" customHeight="1">
      <c r="A267" s="67"/>
      <c r="B267" s="67" t="s">
        <v>2021</v>
      </c>
      <c r="C267" s="67" t="s">
        <v>220</v>
      </c>
      <c r="D267" s="1">
        <v>1</v>
      </c>
      <c r="E267" s="1" t="s">
        <v>55</v>
      </c>
      <c r="F267" s="487">
        <v>28022</v>
      </c>
      <c r="G267" s="527" t="s">
        <v>2553</v>
      </c>
    </row>
    <row r="268" spans="1:7" ht="13.5" customHeight="1">
      <c r="A268" s="67"/>
      <c r="B268" s="67" t="s">
        <v>2035</v>
      </c>
      <c r="C268" s="67" t="s">
        <v>1682</v>
      </c>
      <c r="D268" s="1">
        <v>1</v>
      </c>
      <c r="E268" s="1" t="s">
        <v>317</v>
      </c>
      <c r="F268" s="487">
        <v>900000</v>
      </c>
      <c r="G268" s="67" t="s">
        <v>2036</v>
      </c>
    </row>
    <row r="269" spans="1:7" ht="13.5" customHeight="1">
      <c r="A269" s="67"/>
      <c r="B269" s="67" t="s">
        <v>2035</v>
      </c>
      <c r="C269" s="67" t="s">
        <v>1691</v>
      </c>
      <c r="D269" s="1">
        <v>1</v>
      </c>
      <c r="E269" s="1" t="s">
        <v>317</v>
      </c>
      <c r="F269" s="487">
        <v>1180000</v>
      </c>
      <c r="G269" s="67" t="s">
        <v>2036</v>
      </c>
    </row>
    <row r="270" spans="1:7" ht="13.5" customHeight="1">
      <c r="A270" s="67"/>
      <c r="B270" s="67" t="s">
        <v>2035</v>
      </c>
      <c r="C270" s="67" t="s">
        <v>45</v>
      </c>
      <c r="D270" s="1">
        <v>1</v>
      </c>
      <c r="E270" s="1" t="s">
        <v>317</v>
      </c>
      <c r="F270" s="487">
        <v>1470000</v>
      </c>
      <c r="G270" s="67" t="s">
        <v>2036</v>
      </c>
    </row>
    <row r="271" spans="1:7" ht="13.5" customHeight="1">
      <c r="A271" s="67"/>
      <c r="B271" s="67" t="s">
        <v>1900</v>
      </c>
      <c r="C271" s="67" t="s">
        <v>2056</v>
      </c>
      <c r="D271" s="1">
        <v>1</v>
      </c>
      <c r="E271" s="1" t="s">
        <v>440</v>
      </c>
      <c r="F271" s="487">
        <v>160000</v>
      </c>
      <c r="G271" s="67" t="s">
        <v>2057</v>
      </c>
    </row>
    <row r="272" spans="1:7" ht="13.5" customHeight="1">
      <c r="A272" s="67"/>
      <c r="B272" s="67" t="s">
        <v>2055</v>
      </c>
      <c r="C272" s="67" t="s">
        <v>2058</v>
      </c>
      <c r="D272" s="1">
        <v>1</v>
      </c>
      <c r="E272" s="1" t="s">
        <v>440</v>
      </c>
      <c r="F272" s="487">
        <v>310000</v>
      </c>
      <c r="G272" s="67" t="s">
        <v>2059</v>
      </c>
    </row>
    <row r="273" spans="1:7" ht="13.5" customHeight="1">
      <c r="A273" s="67"/>
      <c r="B273" s="67" t="s">
        <v>1900</v>
      </c>
      <c r="C273" s="67" t="s">
        <v>2093</v>
      </c>
      <c r="D273" s="1">
        <v>1</v>
      </c>
      <c r="E273" s="1" t="s">
        <v>440</v>
      </c>
      <c r="F273" s="487">
        <v>205000</v>
      </c>
      <c r="G273" s="67" t="s">
        <v>2094</v>
      </c>
    </row>
    <row r="274" spans="1:7" ht="13.5" customHeight="1">
      <c r="A274" s="67"/>
      <c r="B274" s="67" t="s">
        <v>2055</v>
      </c>
      <c r="C274" s="67" t="s">
        <v>2095</v>
      </c>
      <c r="D274" s="1">
        <v>1</v>
      </c>
      <c r="E274" s="1" t="s">
        <v>440</v>
      </c>
      <c r="F274" s="487">
        <v>153000</v>
      </c>
      <c r="G274" s="67" t="s">
        <v>2100</v>
      </c>
    </row>
    <row r="275" spans="1:7" ht="13.5" customHeight="1">
      <c r="A275" s="67"/>
      <c r="B275" s="67" t="s">
        <v>1900</v>
      </c>
      <c r="C275" s="67" t="s">
        <v>2589</v>
      </c>
      <c r="D275" s="1">
        <v>1</v>
      </c>
      <c r="E275" s="1" t="s">
        <v>440</v>
      </c>
      <c r="F275" s="487">
        <f>220000*1.1</f>
        <v>242000.00000000003</v>
      </c>
      <c r="G275" s="67" t="s">
        <v>2094</v>
      </c>
    </row>
    <row r="276" spans="1:7" ht="13.5" customHeight="1">
      <c r="A276" s="67"/>
      <c r="B276" s="67" t="s">
        <v>2055</v>
      </c>
      <c r="C276" s="67" t="s">
        <v>2590</v>
      </c>
      <c r="D276" s="1">
        <v>1</v>
      </c>
      <c r="E276" s="1" t="s">
        <v>440</v>
      </c>
      <c r="F276" s="487">
        <f>380000*1.1</f>
        <v>418000.00000000006</v>
      </c>
      <c r="G276" s="67" t="s">
        <v>2100</v>
      </c>
    </row>
    <row r="277" spans="1:7" ht="18" customHeight="1">
      <c r="A277" s="67"/>
      <c r="B277" s="67" t="s">
        <v>2148</v>
      </c>
      <c r="C277" s="67" t="s">
        <v>2149</v>
      </c>
      <c r="D277" s="1">
        <v>1</v>
      </c>
      <c r="E277" s="1" t="s">
        <v>440</v>
      </c>
      <c r="F277" s="487">
        <v>76740</v>
      </c>
      <c r="G277" s="67" t="s">
        <v>2150</v>
      </c>
    </row>
    <row r="278" spans="1:7" ht="18" customHeight="1">
      <c r="A278" s="67"/>
      <c r="B278" s="67" t="s">
        <v>2350</v>
      </c>
      <c r="C278" s="67" t="s">
        <v>2351</v>
      </c>
      <c r="D278" s="1">
        <v>1</v>
      </c>
      <c r="E278" s="1" t="s">
        <v>2349</v>
      </c>
      <c r="F278" s="487">
        <v>3000</v>
      </c>
      <c r="G278" s="67" t="s">
        <v>2352</v>
      </c>
    </row>
    <row r="279" spans="1:7" ht="18" customHeight="1">
      <c r="A279" s="67"/>
      <c r="B279" s="67" t="s">
        <v>2526</v>
      </c>
      <c r="C279" s="67" t="s">
        <v>2527</v>
      </c>
      <c r="D279" s="1">
        <v>1</v>
      </c>
      <c r="E279" s="1" t="s">
        <v>2528</v>
      </c>
      <c r="F279" s="487">
        <v>49300</v>
      </c>
      <c r="G279" s="67" t="s">
        <v>1898</v>
      </c>
    </row>
    <row r="280" spans="1:7" ht="18" customHeight="1">
      <c r="A280" s="67"/>
      <c r="B280" s="67" t="s">
        <v>2382</v>
      </c>
      <c r="C280" s="67" t="s">
        <v>2384</v>
      </c>
      <c r="D280" s="1">
        <v>1</v>
      </c>
      <c r="E280" s="1" t="s">
        <v>2383</v>
      </c>
      <c r="F280" s="487">
        <v>65000</v>
      </c>
      <c r="G280" s="67" t="s">
        <v>2385</v>
      </c>
    </row>
    <row r="281" spans="1:7" ht="18" customHeight="1">
      <c r="A281" s="67"/>
      <c r="B281" s="67" t="s">
        <v>2290</v>
      </c>
      <c r="C281" s="67" t="s">
        <v>2291</v>
      </c>
      <c r="D281" s="1">
        <v>1</v>
      </c>
      <c r="E281" s="1" t="s">
        <v>2292</v>
      </c>
      <c r="F281" s="129">
        <v>475</v>
      </c>
      <c r="G281" s="67" t="s">
        <v>2293</v>
      </c>
    </row>
    <row r="282" spans="1:7" ht="18" customHeight="1">
      <c r="A282" s="67"/>
      <c r="B282" s="67" t="s">
        <v>1552</v>
      </c>
      <c r="C282" s="67" t="s">
        <v>2199</v>
      </c>
      <c r="D282" s="1">
        <v>1</v>
      </c>
      <c r="E282" s="1" t="s">
        <v>640</v>
      </c>
      <c r="F282" s="129">
        <f>ROUNDUP(20000/6,-1)</f>
        <v>3340</v>
      </c>
      <c r="G282" s="67" t="s">
        <v>1898</v>
      </c>
    </row>
    <row r="283" spans="1:7" ht="18" customHeight="1">
      <c r="A283" s="67"/>
      <c r="B283" s="67" t="s">
        <v>1552</v>
      </c>
      <c r="C283" s="67" t="s">
        <v>2703</v>
      </c>
      <c r="D283" s="1">
        <v>1</v>
      </c>
      <c r="E283" s="1" t="s">
        <v>640</v>
      </c>
      <c r="F283" s="129">
        <v>251020</v>
      </c>
      <c r="G283" s="67" t="s">
        <v>1898</v>
      </c>
    </row>
    <row r="284" spans="1:7" ht="18" customHeight="1">
      <c r="A284" s="67"/>
      <c r="B284" s="67" t="s">
        <v>1552</v>
      </c>
      <c r="C284" s="67" t="s">
        <v>2702</v>
      </c>
      <c r="D284" s="1">
        <v>1</v>
      </c>
      <c r="E284" s="1" t="s">
        <v>640</v>
      </c>
      <c r="F284" s="129">
        <v>336864</v>
      </c>
      <c r="G284" s="67" t="s">
        <v>1898</v>
      </c>
    </row>
  </sheetData>
  <customSheetViews>
    <customSheetView guid="{D73D5080-A04E-11D4-B8A5-00609727EAB1}" showPageBreaks="1" showRuler="0" topLeftCell="B354">
      <selection activeCell="F367" sqref="F367"/>
      <pageMargins left="0.37" right="0.36" top="1" bottom="1" header="0.5" footer="0.5"/>
      <pageSetup paperSize="9" orientation="landscape" horizontalDpi="300" verticalDpi="300" r:id="rId1"/>
      <headerFooter alignWithMargins="0"/>
    </customSheetView>
    <customSheetView guid="{2D877E0D-A04C-11D4-947E-00001C044B2C}" showRuler="0" topLeftCell="A424">
      <selection activeCell="C428" sqref="C428"/>
      <pageMargins left="0.37" right="0.36" top="1" bottom="1" header="0.5" footer="0.5"/>
      <pageSetup paperSize="9" orientation="landscape" horizontalDpi="300" verticalDpi="300" r:id="rId2"/>
      <headerFooter alignWithMargins="0"/>
    </customSheetView>
    <customSheetView guid="{6F21C780-A002-11D4-A1D9-00104BD549C6}" showRuler="0" topLeftCell="A424">
      <selection activeCell="C428" sqref="C428"/>
      <pageMargins left="0.37" right="0.36" top="1" bottom="1" header="0.5" footer="0.5"/>
      <pageSetup paperSize="9" orientation="landscape" horizontalDpi="300" verticalDpi="300" r:id="rId3"/>
      <headerFooter alignWithMargins="0"/>
    </customSheetView>
  </customSheetViews>
  <mergeCells count="6">
    <mergeCell ref="G2:G3"/>
    <mergeCell ref="F2:F3"/>
    <mergeCell ref="A2:B2"/>
    <mergeCell ref="C2:C3"/>
    <mergeCell ref="D2:D3"/>
    <mergeCell ref="E2:E3"/>
  </mergeCells>
  <phoneticPr fontId="3" type="noConversion"/>
  <printOptions horizontalCentered="1"/>
  <pageMargins left="0.52" right="0.51" top="0.78740157480314965" bottom="0.39370078740157483" header="0" footer="0"/>
  <pageSetup paperSize="9" orientation="landscape" r:id="rId4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11"/>
  <dimension ref="A1:J23"/>
  <sheetViews>
    <sheetView topLeftCell="A2" workbookViewId="0">
      <selection activeCell="E8" sqref="E8:G8"/>
    </sheetView>
  </sheetViews>
  <sheetFormatPr defaultColWidth="8.88671875" defaultRowHeight="20.100000000000001" customHeight="1"/>
  <cols>
    <col min="1" max="1" width="11.33203125" style="10" customWidth="1"/>
    <col min="2" max="2" width="14.44140625" style="10" customWidth="1"/>
    <col min="3" max="3" width="10.88671875" style="10" customWidth="1"/>
    <col min="4" max="4" width="8.88671875" style="10"/>
    <col min="5" max="5" width="12.33203125" style="10" customWidth="1"/>
    <col min="6" max="6" width="12.21875" style="80" customWidth="1"/>
    <col min="7" max="7" width="13.44140625" style="80" customWidth="1"/>
    <col min="8" max="9" width="8.88671875" style="10"/>
    <col min="10" max="10" width="8.88671875" style="81"/>
    <col min="11" max="16384" width="8.88671875" style="10"/>
  </cols>
  <sheetData>
    <row r="1" spans="1:10" ht="20.100000000000001" customHeight="1">
      <c r="A1" s="62" t="s">
        <v>691</v>
      </c>
      <c r="B1" s="21"/>
      <c r="C1" s="21"/>
      <c r="D1" s="21"/>
      <c r="E1" s="21"/>
      <c r="F1" s="63"/>
      <c r="G1" s="63"/>
      <c r="H1" s="21" t="s">
        <v>540</v>
      </c>
      <c r="I1" s="64"/>
      <c r="J1" s="65"/>
    </row>
    <row r="2" spans="1:10" ht="20.100000000000001" customHeight="1">
      <c r="A2" s="1017" t="s">
        <v>810</v>
      </c>
      <c r="B2" s="1017" t="s">
        <v>811</v>
      </c>
      <c r="C2" s="380" t="s">
        <v>541</v>
      </c>
      <c r="D2" s="380" t="s">
        <v>542</v>
      </c>
      <c r="E2" s="380" t="s">
        <v>543</v>
      </c>
      <c r="F2" s="381" t="s">
        <v>544</v>
      </c>
      <c r="G2" s="381" t="s">
        <v>545</v>
      </c>
      <c r="H2" s="380" t="s">
        <v>684</v>
      </c>
      <c r="I2" s="380" t="s">
        <v>685</v>
      </c>
      <c r="J2" s="1017" t="s">
        <v>812</v>
      </c>
    </row>
    <row r="3" spans="1:10" ht="20.100000000000001" customHeight="1">
      <c r="A3" s="1017"/>
      <c r="B3" s="1017"/>
      <c r="C3" s="378" t="s">
        <v>1215</v>
      </c>
      <c r="D3" s="378" t="s">
        <v>687</v>
      </c>
      <c r="E3" s="378" t="s">
        <v>1379</v>
      </c>
      <c r="F3" s="379" t="s">
        <v>1216</v>
      </c>
      <c r="G3" s="378" t="s">
        <v>813</v>
      </c>
      <c r="H3" s="378" t="s">
        <v>1330</v>
      </c>
      <c r="I3" s="378" t="s">
        <v>688</v>
      </c>
      <c r="J3" s="1017"/>
    </row>
    <row r="4" spans="1:10" ht="20.100000000000001" customHeight="1">
      <c r="A4" s="67" t="s">
        <v>778</v>
      </c>
      <c r="B4" s="68"/>
      <c r="C4" s="69">
        <f>운반거리!F4</f>
        <v>10</v>
      </c>
      <c r="D4" s="70">
        <v>11</v>
      </c>
      <c r="E4" s="70">
        <v>11</v>
      </c>
      <c r="F4" s="71">
        <v>116040</v>
      </c>
      <c r="G4" s="72">
        <f t="shared" ref="G4:G9" si="0">INT(F4/E4)</f>
        <v>10549</v>
      </c>
      <c r="H4" s="1"/>
      <c r="I4" s="1"/>
      <c r="J4" s="73"/>
    </row>
    <row r="5" spans="1:10" ht="20.100000000000001" customHeight="1">
      <c r="A5" s="67" t="s">
        <v>1370</v>
      </c>
      <c r="B5" s="68"/>
      <c r="C5" s="69">
        <f>운반거리!F5</f>
        <v>83.2</v>
      </c>
      <c r="D5" s="70">
        <v>11</v>
      </c>
      <c r="E5" s="70">
        <v>11</v>
      </c>
      <c r="F5" s="71">
        <v>213890</v>
      </c>
      <c r="G5" s="72">
        <f t="shared" si="0"/>
        <v>19444</v>
      </c>
      <c r="H5" s="1"/>
      <c r="I5" s="1"/>
      <c r="J5" s="73"/>
    </row>
    <row r="6" spans="1:10" ht="20.100000000000001" customHeight="1">
      <c r="A6" s="67" t="s">
        <v>788</v>
      </c>
      <c r="B6" s="68"/>
      <c r="C6" s="69">
        <f>운반거리!F11</f>
        <v>15.5</v>
      </c>
      <c r="D6" s="70">
        <v>11</v>
      </c>
      <c r="E6" s="70">
        <v>16</v>
      </c>
      <c r="F6" s="71">
        <v>92060</v>
      </c>
      <c r="G6" s="72">
        <f t="shared" si="0"/>
        <v>5753</v>
      </c>
      <c r="H6" s="1"/>
      <c r="I6" s="1"/>
      <c r="J6" s="73"/>
    </row>
    <row r="7" spans="1:10" ht="20.100000000000001" customHeight="1">
      <c r="A7" s="67" t="s">
        <v>700</v>
      </c>
      <c r="B7" s="68"/>
      <c r="C7" s="69">
        <f>운반거리!F12</f>
        <v>15.5</v>
      </c>
      <c r="D7" s="70">
        <v>11</v>
      </c>
      <c r="E7" s="70">
        <v>11</v>
      </c>
      <c r="F7" s="71">
        <v>92060</v>
      </c>
      <c r="G7" s="72">
        <f t="shared" si="0"/>
        <v>8369</v>
      </c>
      <c r="H7" s="1"/>
      <c r="I7" s="1"/>
      <c r="J7" s="73"/>
    </row>
    <row r="8" spans="1:10" ht="20.100000000000001" customHeight="1">
      <c r="A8" s="67" t="s">
        <v>993</v>
      </c>
      <c r="B8" s="68"/>
      <c r="C8" s="69">
        <f>운반거리!F13</f>
        <v>93.2</v>
      </c>
      <c r="D8" s="70">
        <v>11</v>
      </c>
      <c r="E8" s="70">
        <v>11</v>
      </c>
      <c r="F8" s="71">
        <v>224740</v>
      </c>
      <c r="G8" s="72">
        <f t="shared" si="0"/>
        <v>20430</v>
      </c>
      <c r="H8" s="1"/>
      <c r="I8" s="1"/>
      <c r="J8" s="73"/>
    </row>
    <row r="9" spans="1:10" ht="20.100000000000001" customHeight="1">
      <c r="A9" s="67" t="s">
        <v>1372</v>
      </c>
      <c r="B9" s="74" t="s">
        <v>814</v>
      </c>
      <c r="C9" s="69">
        <f>운반거리!F13</f>
        <v>93.2</v>
      </c>
      <c r="D9" s="70">
        <v>8</v>
      </c>
      <c r="E9" s="70">
        <v>350</v>
      </c>
      <c r="F9" s="71">
        <v>224740</v>
      </c>
      <c r="G9" s="72">
        <f t="shared" si="0"/>
        <v>642</v>
      </c>
      <c r="H9" s="1"/>
      <c r="I9" s="1"/>
      <c r="J9" s="73"/>
    </row>
    <row r="10" spans="1:10" ht="20.100000000000001" customHeight="1">
      <c r="A10" s="67"/>
      <c r="B10" s="74" t="s">
        <v>1380</v>
      </c>
      <c r="C10" s="69">
        <f>운반거리!F13</f>
        <v>93.2</v>
      </c>
      <c r="D10" s="70">
        <v>8</v>
      </c>
      <c r="E10" s="70">
        <v>175</v>
      </c>
      <c r="F10" s="71">
        <v>224740</v>
      </c>
      <c r="G10" s="72">
        <f t="shared" ref="G10:G15" si="1">INT(F10/E10)</f>
        <v>1284</v>
      </c>
      <c r="H10" s="1"/>
      <c r="I10" s="1"/>
      <c r="J10" s="73"/>
    </row>
    <row r="11" spans="1:10" ht="20.100000000000001" customHeight="1">
      <c r="A11" s="67"/>
      <c r="B11" s="74" t="s">
        <v>1381</v>
      </c>
      <c r="C11" s="69">
        <f>운반거리!F13</f>
        <v>93.2</v>
      </c>
      <c r="D11" s="70">
        <v>8</v>
      </c>
      <c r="E11" s="70">
        <v>110</v>
      </c>
      <c r="F11" s="71">
        <v>224740</v>
      </c>
      <c r="G11" s="72">
        <f t="shared" si="1"/>
        <v>2043</v>
      </c>
      <c r="H11" s="1"/>
      <c r="I11" s="1"/>
      <c r="J11" s="73"/>
    </row>
    <row r="12" spans="1:10" ht="20.100000000000001" customHeight="1">
      <c r="A12" s="67"/>
      <c r="B12" s="74" t="s">
        <v>1382</v>
      </c>
      <c r="C12" s="69">
        <f>운반거리!F13</f>
        <v>93.2</v>
      </c>
      <c r="D12" s="70">
        <v>8</v>
      </c>
      <c r="E12" s="70">
        <v>66</v>
      </c>
      <c r="F12" s="71">
        <v>224740</v>
      </c>
      <c r="G12" s="72">
        <f t="shared" si="1"/>
        <v>3405</v>
      </c>
      <c r="H12" s="1"/>
      <c r="I12" s="1"/>
      <c r="J12" s="73"/>
    </row>
    <row r="13" spans="1:10" ht="20.100000000000001" customHeight="1">
      <c r="A13" s="67"/>
      <c r="B13" s="74" t="s">
        <v>1383</v>
      </c>
      <c r="C13" s="69">
        <f>운반거리!F13</f>
        <v>93.2</v>
      </c>
      <c r="D13" s="70">
        <v>8</v>
      </c>
      <c r="E13" s="70">
        <v>52</v>
      </c>
      <c r="F13" s="71">
        <v>224740</v>
      </c>
      <c r="G13" s="72">
        <f t="shared" si="1"/>
        <v>4321</v>
      </c>
      <c r="H13" s="1"/>
      <c r="I13" s="1"/>
      <c r="J13" s="73"/>
    </row>
    <row r="14" spans="1:10" ht="20.100000000000001" customHeight="1">
      <c r="A14" s="67"/>
      <c r="B14" s="74" t="s">
        <v>1384</v>
      </c>
      <c r="C14" s="69">
        <f>운반거리!F13</f>
        <v>93.2</v>
      </c>
      <c r="D14" s="70">
        <v>8</v>
      </c>
      <c r="E14" s="70">
        <v>27</v>
      </c>
      <c r="F14" s="71">
        <v>224740</v>
      </c>
      <c r="G14" s="72">
        <f t="shared" si="1"/>
        <v>8323</v>
      </c>
      <c r="H14" s="1"/>
      <c r="I14" s="1"/>
      <c r="J14" s="73"/>
    </row>
    <row r="15" spans="1:10" ht="20.100000000000001" customHeight="1">
      <c r="A15" s="67"/>
      <c r="B15" s="74" t="s">
        <v>815</v>
      </c>
      <c r="C15" s="69">
        <f>운반거리!F13</f>
        <v>93.2</v>
      </c>
      <c r="D15" s="70">
        <v>8</v>
      </c>
      <c r="E15" s="70">
        <v>16</v>
      </c>
      <c r="F15" s="71">
        <v>224740</v>
      </c>
      <c r="G15" s="72">
        <f t="shared" si="1"/>
        <v>14046</v>
      </c>
      <c r="H15" s="1"/>
      <c r="I15" s="1"/>
      <c r="J15" s="73"/>
    </row>
    <row r="16" spans="1:10" ht="20.100000000000001" customHeight="1">
      <c r="A16" s="28"/>
      <c r="B16" s="28"/>
      <c r="C16" s="75"/>
      <c r="D16" s="76"/>
      <c r="E16" s="76"/>
      <c r="F16" s="77"/>
      <c r="G16" s="78"/>
      <c r="H16" s="28"/>
      <c r="I16" s="28"/>
      <c r="J16" s="79"/>
    </row>
    <row r="17" spans="1:10" ht="20.100000000000001" customHeight="1">
      <c r="A17" s="28"/>
      <c r="B17" s="28"/>
      <c r="C17" s="75"/>
      <c r="D17" s="76"/>
      <c r="E17" s="76"/>
      <c r="F17" s="77"/>
      <c r="G17" s="78"/>
      <c r="H17" s="28"/>
      <c r="I17" s="28"/>
      <c r="J17" s="79"/>
    </row>
    <row r="18" spans="1:10" ht="20.100000000000001" customHeight="1">
      <c r="A18" s="28"/>
      <c r="B18" s="28"/>
      <c r="C18" s="75"/>
      <c r="D18" s="76"/>
      <c r="E18" s="76"/>
      <c r="F18" s="77"/>
      <c r="G18" s="78"/>
      <c r="H18" s="28"/>
      <c r="I18" s="28"/>
      <c r="J18" s="79"/>
    </row>
    <row r="19" spans="1:10" ht="20.100000000000001" customHeight="1">
      <c r="A19" s="28"/>
      <c r="B19" s="28"/>
      <c r="C19" s="75"/>
      <c r="D19" s="76"/>
      <c r="E19" s="76"/>
      <c r="F19" s="77"/>
      <c r="G19" s="78"/>
      <c r="H19" s="28"/>
      <c r="I19" s="28"/>
      <c r="J19" s="79"/>
    </row>
    <row r="20" spans="1:10" ht="20.100000000000001" customHeight="1">
      <c r="A20" s="28"/>
      <c r="B20" s="28"/>
      <c r="C20" s="75"/>
      <c r="D20" s="76"/>
      <c r="E20" s="76"/>
      <c r="F20" s="77"/>
      <c r="G20" s="78"/>
      <c r="H20" s="28"/>
      <c r="I20" s="28"/>
      <c r="J20" s="79"/>
    </row>
    <row r="21" spans="1:10" ht="20.100000000000001" customHeight="1">
      <c r="A21" s="28"/>
      <c r="B21" s="28"/>
      <c r="C21" s="75"/>
      <c r="D21" s="76"/>
      <c r="E21" s="76"/>
      <c r="F21" s="77"/>
      <c r="G21" s="78"/>
      <c r="H21" s="28"/>
      <c r="I21" s="28"/>
      <c r="J21" s="79"/>
    </row>
    <row r="22" spans="1:10" ht="20.100000000000001" customHeight="1">
      <c r="A22" s="28"/>
      <c r="B22" s="28"/>
      <c r="C22" s="75"/>
      <c r="D22" s="76"/>
      <c r="E22" s="76"/>
      <c r="F22" s="77"/>
      <c r="G22" s="78"/>
      <c r="H22" s="28"/>
      <c r="I22" s="28"/>
      <c r="J22" s="79"/>
    </row>
    <row r="23" spans="1:10" ht="20.100000000000001" customHeight="1">
      <c r="A23" s="28"/>
      <c r="B23" s="28"/>
      <c r="C23" s="75"/>
      <c r="D23" s="76"/>
      <c r="E23" s="76"/>
      <c r="F23" s="77"/>
      <c r="G23" s="78"/>
      <c r="H23" s="28"/>
      <c r="I23" s="28"/>
      <c r="J23" s="79"/>
    </row>
  </sheetData>
  <customSheetViews>
    <customSheetView guid="{D73D5080-A04E-11D4-B8A5-00609727EAB1}" showPageBreaks="1" showRuler="0" topLeftCell="C5">
      <selection activeCell="M23" sqref="M23"/>
      <pageMargins left="0.51" right="0.48" top="1" bottom="1" header="0.5" footer="0.5"/>
      <pageSetup paperSize="9" orientation="landscape" horizontalDpi="300" verticalDpi="300" r:id="rId1"/>
      <headerFooter alignWithMargins="0"/>
    </customSheetView>
    <customSheetView guid="{2D877E0D-A04C-11D4-947E-00001C044B2C}" showRuler="0" topLeftCell="B2">
      <selection activeCell="I15" sqref="I15"/>
      <pageMargins left="0.51" right="0.48" top="1" bottom="1" header="0.5" footer="0.5"/>
      <pageSetup paperSize="9" orientation="landscape" horizontalDpi="300" verticalDpi="300" r:id="rId2"/>
      <headerFooter alignWithMargins="0"/>
    </customSheetView>
    <customSheetView guid="{6F21C780-A002-11D4-A1D9-00104BD549C6}" showRuler="0" topLeftCell="B2">
      <selection activeCell="I15" sqref="I15"/>
      <pageMargins left="0.51" right="0.48" top="1" bottom="1" header="0.5" footer="0.5"/>
      <pageSetup paperSize="9" orientation="landscape" horizontalDpi="300" verticalDpi="300" r:id="rId3"/>
      <headerFooter alignWithMargins="0"/>
    </customSheetView>
  </customSheetViews>
  <mergeCells count="3">
    <mergeCell ref="A2:A3"/>
    <mergeCell ref="B2:B3"/>
    <mergeCell ref="J2:J3"/>
  </mergeCells>
  <phoneticPr fontId="3" type="noConversion"/>
  <printOptions horizontalCentered="1"/>
  <pageMargins left="0.59055118110236227" right="0.59055118110236227" top="0.98425196850393704" bottom="0.59055118110236227" header="0.39370078740157483" footer="0.39370078740157483"/>
  <pageSetup paperSize="9" orientation="landscape" r:id="rId4"/>
  <headerFooter alignWithMargins="0"/>
  <drawing r:id="rId5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23"/>
  <dimension ref="A1:L48"/>
  <sheetViews>
    <sheetView workbookViewId="0">
      <selection activeCell="E8" sqref="E8:G8"/>
    </sheetView>
  </sheetViews>
  <sheetFormatPr defaultColWidth="8.88671875" defaultRowHeight="20.100000000000001" customHeight="1"/>
  <cols>
    <col min="1" max="1" width="15.6640625" style="28" customWidth="1"/>
    <col min="2" max="11" width="7.77734375" style="28" customWidth="1"/>
    <col min="12" max="12" width="23.109375" style="28" customWidth="1"/>
    <col min="13" max="16384" width="8.88671875" style="28"/>
  </cols>
  <sheetData>
    <row r="1" spans="1:12" ht="20.100000000000001" customHeight="1">
      <c r="A1" s="4" t="s">
        <v>970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2" ht="20.100000000000001" customHeight="1">
      <c r="A2" s="1017" t="s">
        <v>774</v>
      </c>
      <c r="B2" s="1017" t="s">
        <v>775</v>
      </c>
      <c r="C2" s="1017"/>
      <c r="D2" s="1017"/>
      <c r="E2" s="1017"/>
      <c r="F2" s="1017"/>
      <c r="G2" s="1017" t="s">
        <v>776</v>
      </c>
      <c r="H2" s="1017"/>
      <c r="I2" s="1017"/>
      <c r="J2" s="1017"/>
      <c r="K2" s="1017"/>
      <c r="L2" s="1017" t="s">
        <v>777</v>
      </c>
    </row>
    <row r="3" spans="1:12" ht="20.100000000000001" customHeight="1">
      <c r="A3" s="1017"/>
      <c r="B3" s="32">
        <v>10</v>
      </c>
      <c r="C3" s="33">
        <v>15</v>
      </c>
      <c r="D3" s="33">
        <v>25</v>
      </c>
      <c r="E3" s="33">
        <v>35</v>
      </c>
      <c r="F3" s="34" t="s">
        <v>609</v>
      </c>
      <c r="G3" s="35">
        <v>10</v>
      </c>
      <c r="H3" s="33">
        <v>15</v>
      </c>
      <c r="I3" s="33">
        <v>25</v>
      </c>
      <c r="J3" s="33">
        <v>35</v>
      </c>
      <c r="K3" s="34" t="s">
        <v>609</v>
      </c>
      <c r="L3" s="1017"/>
    </row>
    <row r="4" spans="1:12" ht="20.100000000000001" customHeight="1">
      <c r="A4" s="37" t="s">
        <v>778</v>
      </c>
      <c r="B4" s="38"/>
      <c r="C4" s="39"/>
      <c r="D4" s="39"/>
      <c r="E4" s="39">
        <v>10</v>
      </c>
      <c r="F4" s="40">
        <f t="shared" ref="F4:F14" si="0">SUM(B4:E4)</f>
        <v>10</v>
      </c>
      <c r="G4" s="38">
        <f t="shared" ref="G4:G14" si="1">INT(20/10*B4*10)/10</f>
        <v>0</v>
      </c>
      <c r="H4" s="39"/>
      <c r="I4" s="39"/>
      <c r="J4" s="39">
        <f t="shared" ref="J4:J14" si="2">INT(20/35*E4*10)/10</f>
        <v>5.7</v>
      </c>
      <c r="K4" s="40">
        <f>SUM(G4:J4)</f>
        <v>5.7</v>
      </c>
      <c r="L4" s="41" t="s">
        <v>779</v>
      </c>
    </row>
    <row r="5" spans="1:12" ht="20.100000000000001" customHeight="1">
      <c r="A5" s="42" t="s">
        <v>1370</v>
      </c>
      <c r="B5" s="43"/>
      <c r="C5" s="44"/>
      <c r="D5" s="44"/>
      <c r="E5" s="44">
        <v>83.2</v>
      </c>
      <c r="F5" s="40">
        <f t="shared" si="0"/>
        <v>83.2</v>
      </c>
      <c r="G5" s="38">
        <f t="shared" si="1"/>
        <v>0</v>
      </c>
      <c r="H5" s="44"/>
      <c r="I5" s="44"/>
      <c r="J5" s="39">
        <f t="shared" si="2"/>
        <v>47.5</v>
      </c>
      <c r="K5" s="40">
        <f t="shared" ref="K5:K14" si="3">SUM(G5:J5)</f>
        <v>47.5</v>
      </c>
      <c r="L5" s="41" t="s">
        <v>780</v>
      </c>
    </row>
    <row r="6" spans="1:12" ht="20.100000000000001" customHeight="1">
      <c r="A6" s="42" t="s">
        <v>781</v>
      </c>
      <c r="B6" s="44">
        <v>0.5</v>
      </c>
      <c r="C6" s="44"/>
      <c r="D6" s="44"/>
      <c r="E6" s="44">
        <v>15</v>
      </c>
      <c r="F6" s="40">
        <f t="shared" si="0"/>
        <v>15.5</v>
      </c>
      <c r="G6" s="38">
        <f>INT(20/10*B6*10)/10</f>
        <v>1</v>
      </c>
      <c r="H6" s="44"/>
      <c r="I6" s="44"/>
      <c r="J6" s="39">
        <f>INT(20/35*E6*10)/10</f>
        <v>8.5</v>
      </c>
      <c r="K6" s="40">
        <f t="shared" si="3"/>
        <v>9.5</v>
      </c>
      <c r="L6" s="41" t="s">
        <v>782</v>
      </c>
    </row>
    <row r="7" spans="1:12" ht="20.100000000000001" customHeight="1">
      <c r="A7" s="42" t="s">
        <v>992</v>
      </c>
      <c r="B7" s="44">
        <v>0.5</v>
      </c>
      <c r="C7" s="44"/>
      <c r="D7" s="44"/>
      <c r="E7" s="44">
        <v>30.5</v>
      </c>
      <c r="F7" s="40">
        <f t="shared" si="0"/>
        <v>31</v>
      </c>
      <c r="G7" s="38">
        <f t="shared" si="1"/>
        <v>1</v>
      </c>
      <c r="H7" s="44"/>
      <c r="I7" s="44"/>
      <c r="J7" s="39">
        <v>6</v>
      </c>
      <c r="K7" s="40">
        <f t="shared" si="3"/>
        <v>7</v>
      </c>
      <c r="L7" s="41" t="s">
        <v>783</v>
      </c>
    </row>
    <row r="8" spans="1:12" ht="20.100000000000001" customHeight="1">
      <c r="A8" s="42" t="s">
        <v>784</v>
      </c>
      <c r="B8" s="44">
        <v>0.5</v>
      </c>
      <c r="C8" s="44"/>
      <c r="D8" s="44"/>
      <c r="E8" s="44">
        <v>30.5</v>
      </c>
      <c r="F8" s="40">
        <f t="shared" si="0"/>
        <v>31</v>
      </c>
      <c r="G8" s="38">
        <f t="shared" si="1"/>
        <v>1</v>
      </c>
      <c r="H8" s="44"/>
      <c r="I8" s="44"/>
      <c r="J8" s="39">
        <v>12</v>
      </c>
      <c r="K8" s="40">
        <f t="shared" si="3"/>
        <v>13</v>
      </c>
      <c r="L8" s="41" t="s">
        <v>783</v>
      </c>
    </row>
    <row r="9" spans="1:12" ht="20.100000000000001" customHeight="1">
      <c r="A9" s="42" t="s">
        <v>785</v>
      </c>
      <c r="B9" s="44">
        <v>0.5</v>
      </c>
      <c r="C9" s="44"/>
      <c r="D9" s="44"/>
      <c r="E9" s="44">
        <v>30.5</v>
      </c>
      <c r="F9" s="40">
        <f t="shared" si="0"/>
        <v>31</v>
      </c>
      <c r="G9" s="38">
        <f t="shared" si="1"/>
        <v>1</v>
      </c>
      <c r="H9" s="44"/>
      <c r="I9" s="44"/>
      <c r="J9" s="39">
        <v>12</v>
      </c>
      <c r="K9" s="40">
        <f t="shared" si="3"/>
        <v>13</v>
      </c>
      <c r="L9" s="41" t="s">
        <v>783</v>
      </c>
    </row>
    <row r="10" spans="1:12" ht="20.100000000000001" customHeight="1">
      <c r="A10" s="42" t="s">
        <v>786</v>
      </c>
      <c r="B10" s="44">
        <v>0.5</v>
      </c>
      <c r="C10" s="44"/>
      <c r="D10" s="44"/>
      <c r="E10" s="44">
        <v>5</v>
      </c>
      <c r="F10" s="40">
        <f t="shared" si="0"/>
        <v>5.5</v>
      </c>
      <c r="G10" s="38">
        <f>INT(20/10*B10*10)/10</f>
        <v>1</v>
      </c>
      <c r="H10" s="44"/>
      <c r="I10" s="44"/>
      <c r="J10" s="39">
        <f t="shared" si="2"/>
        <v>2.8</v>
      </c>
      <c r="K10" s="40">
        <f>SUM(G10:J10)</f>
        <v>3.8</v>
      </c>
      <c r="L10" s="41" t="s">
        <v>787</v>
      </c>
    </row>
    <row r="11" spans="1:12" ht="20.100000000000001" customHeight="1">
      <c r="A11" s="42" t="s">
        <v>788</v>
      </c>
      <c r="B11" s="43"/>
      <c r="C11" s="44"/>
      <c r="D11" s="44"/>
      <c r="E11" s="39">
        <v>15.5</v>
      </c>
      <c r="F11" s="40">
        <f t="shared" si="0"/>
        <v>15.5</v>
      </c>
      <c r="G11" s="38">
        <f t="shared" si="1"/>
        <v>0</v>
      </c>
      <c r="H11" s="44"/>
      <c r="I11" s="44"/>
      <c r="J11" s="39">
        <f t="shared" si="2"/>
        <v>8.8000000000000007</v>
      </c>
      <c r="K11" s="40">
        <f t="shared" si="3"/>
        <v>8.8000000000000007</v>
      </c>
      <c r="L11" s="41" t="s">
        <v>779</v>
      </c>
    </row>
    <row r="12" spans="1:12" ht="20.100000000000001" customHeight="1">
      <c r="A12" s="42" t="s">
        <v>700</v>
      </c>
      <c r="B12" s="43"/>
      <c r="C12" s="44"/>
      <c r="D12" s="44"/>
      <c r="E12" s="39">
        <v>15.5</v>
      </c>
      <c r="F12" s="40">
        <f t="shared" si="0"/>
        <v>15.5</v>
      </c>
      <c r="G12" s="38">
        <f t="shared" si="1"/>
        <v>0</v>
      </c>
      <c r="H12" s="44"/>
      <c r="I12" s="44"/>
      <c r="J12" s="39">
        <f t="shared" si="2"/>
        <v>8.8000000000000007</v>
      </c>
      <c r="K12" s="40">
        <f t="shared" si="3"/>
        <v>8.8000000000000007</v>
      </c>
      <c r="L12" s="41" t="s">
        <v>779</v>
      </c>
    </row>
    <row r="13" spans="1:12" ht="20.100000000000001" customHeight="1">
      <c r="A13" s="42" t="s">
        <v>789</v>
      </c>
      <c r="B13" s="43"/>
      <c r="C13" s="44"/>
      <c r="D13" s="44"/>
      <c r="E13" s="44">
        <v>93.2</v>
      </c>
      <c r="F13" s="40">
        <f>SUM(B13:E13)</f>
        <v>93.2</v>
      </c>
      <c r="G13" s="38">
        <f t="shared" si="1"/>
        <v>0</v>
      </c>
      <c r="H13" s="44"/>
      <c r="I13" s="44"/>
      <c r="J13" s="39">
        <f>INT(20/35*E13*10)/10</f>
        <v>53.2</v>
      </c>
      <c r="K13" s="40">
        <f t="shared" si="3"/>
        <v>53.2</v>
      </c>
      <c r="L13" s="41" t="s">
        <v>790</v>
      </c>
    </row>
    <row r="14" spans="1:12" ht="20.100000000000001" customHeight="1">
      <c r="A14" s="45" t="s">
        <v>791</v>
      </c>
      <c r="B14" s="46"/>
      <c r="C14" s="47"/>
      <c r="D14" s="47"/>
      <c r="E14" s="39">
        <v>15.5</v>
      </c>
      <c r="F14" s="48">
        <f t="shared" si="0"/>
        <v>15.5</v>
      </c>
      <c r="G14" s="49">
        <f t="shared" si="1"/>
        <v>0</v>
      </c>
      <c r="H14" s="47"/>
      <c r="I14" s="47"/>
      <c r="J14" s="47">
        <f t="shared" si="2"/>
        <v>8.8000000000000007</v>
      </c>
      <c r="K14" s="50">
        <f t="shared" si="3"/>
        <v>8.8000000000000007</v>
      </c>
      <c r="L14" s="41" t="s">
        <v>779</v>
      </c>
    </row>
    <row r="15" spans="1:12" ht="20.100000000000001" customHeight="1">
      <c r="A15" s="51"/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</row>
    <row r="16" spans="1:12" ht="20.100000000000001" customHeight="1">
      <c r="A16" s="4" t="s">
        <v>971</v>
      </c>
    </row>
    <row r="17" spans="1:12" ht="20.100000000000001" customHeight="1">
      <c r="A17" s="10"/>
      <c r="B17" s="10"/>
      <c r="C17" s="10"/>
      <c r="D17" s="10" t="s">
        <v>819</v>
      </c>
      <c r="E17" s="14"/>
      <c r="F17" s="28">
        <v>50</v>
      </c>
      <c r="G17" s="14" t="s">
        <v>640</v>
      </c>
    </row>
    <row r="25" spans="1:12" ht="20.100000000000001" customHeight="1">
      <c r="A25" s="52"/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3"/>
    </row>
    <row r="26" spans="1:12" ht="20.100000000000001" customHeight="1">
      <c r="A26" s="53"/>
      <c r="B26" s="4" t="s">
        <v>972</v>
      </c>
      <c r="L26" s="54"/>
    </row>
    <row r="27" spans="1:12" ht="20.100000000000001" customHeight="1">
      <c r="A27" s="55"/>
      <c r="L27" s="54"/>
    </row>
    <row r="28" spans="1:12" ht="20.100000000000001" customHeight="1">
      <c r="A28" s="55"/>
      <c r="E28" s="1017" t="s">
        <v>792</v>
      </c>
      <c r="L28" s="54"/>
    </row>
    <row r="29" spans="1:12" ht="20.100000000000001" customHeight="1">
      <c r="A29" s="55"/>
      <c r="E29" s="1017"/>
      <c r="L29" s="54"/>
    </row>
    <row r="30" spans="1:12" ht="20.100000000000001" customHeight="1">
      <c r="A30" s="55"/>
      <c r="E30" s="19">
        <v>0.5</v>
      </c>
      <c r="F30" s="14" t="s">
        <v>793</v>
      </c>
      <c r="L30" s="54"/>
    </row>
    <row r="31" spans="1:12" ht="20.100000000000001" customHeight="1">
      <c r="A31" s="55"/>
      <c r="L31" s="54"/>
    </row>
    <row r="32" spans="1:12" ht="20.100000000000001" customHeight="1">
      <c r="A32" s="55"/>
      <c r="E32" s="56" t="s">
        <v>794</v>
      </c>
      <c r="H32" s="1017" t="s">
        <v>790</v>
      </c>
      <c r="L32" s="54"/>
    </row>
    <row r="33" spans="1:12" ht="20.100000000000001" customHeight="1">
      <c r="A33" s="55"/>
      <c r="B33" s="58"/>
      <c r="E33" s="57" t="s">
        <v>795</v>
      </c>
      <c r="H33" s="1017"/>
      <c r="L33" s="54"/>
    </row>
    <row r="34" spans="1:12" ht="20.100000000000001" customHeight="1">
      <c r="A34" s="55"/>
      <c r="B34" s="1017" t="s">
        <v>796</v>
      </c>
      <c r="I34" s="14" t="s">
        <v>797</v>
      </c>
      <c r="L34" s="54"/>
    </row>
    <row r="35" spans="1:12" ht="20.100000000000001" customHeight="1">
      <c r="A35" s="55"/>
      <c r="B35" s="1017"/>
      <c r="E35" s="19">
        <v>15</v>
      </c>
      <c r="H35" s="19">
        <v>45.2</v>
      </c>
      <c r="L35" s="54"/>
    </row>
    <row r="36" spans="1:12" ht="20.100000000000001" customHeight="1">
      <c r="A36" s="55"/>
      <c r="B36" s="19">
        <v>0.5</v>
      </c>
      <c r="C36" s="14" t="s">
        <v>781</v>
      </c>
      <c r="L36" s="54"/>
    </row>
    <row r="37" spans="1:12" ht="20.100000000000001" customHeight="1">
      <c r="A37" s="55"/>
      <c r="L37" s="54"/>
    </row>
    <row r="38" spans="1:12" ht="20.100000000000001" customHeight="1">
      <c r="A38" s="55"/>
      <c r="B38" s="1017" t="s">
        <v>798</v>
      </c>
      <c r="C38" s="1017">
        <v>7</v>
      </c>
      <c r="D38" s="1017"/>
      <c r="E38" s="1017" t="s">
        <v>779</v>
      </c>
      <c r="F38" s="1017">
        <v>32.5</v>
      </c>
      <c r="G38" s="1017"/>
      <c r="H38" s="1017" t="s">
        <v>799</v>
      </c>
      <c r="I38" s="1017">
        <v>35.200000000000003</v>
      </c>
      <c r="J38" s="1017"/>
      <c r="K38" s="56" t="s">
        <v>800</v>
      </c>
      <c r="L38" s="54"/>
    </row>
    <row r="39" spans="1:12" ht="20.100000000000001" customHeight="1">
      <c r="A39" s="55"/>
      <c r="B39" s="1017"/>
      <c r="C39" s="60"/>
      <c r="D39" s="3"/>
      <c r="E39" s="1017"/>
      <c r="F39" s="60"/>
      <c r="G39" s="3"/>
      <c r="H39" s="1017"/>
      <c r="I39" s="60"/>
      <c r="J39" s="3"/>
      <c r="K39" s="57" t="s">
        <v>801</v>
      </c>
      <c r="L39" s="54"/>
    </row>
    <row r="40" spans="1:12" ht="20.100000000000001" customHeight="1">
      <c r="A40" s="55"/>
      <c r="F40" s="14" t="s">
        <v>802</v>
      </c>
      <c r="L40" s="61" t="s">
        <v>1370</v>
      </c>
    </row>
    <row r="41" spans="1:12" ht="20.100000000000001" customHeight="1">
      <c r="A41" s="55"/>
      <c r="B41" s="19">
        <v>3</v>
      </c>
      <c r="F41" s="14" t="s">
        <v>803</v>
      </c>
      <c r="L41" s="54"/>
    </row>
    <row r="42" spans="1:12" ht="20.100000000000001" customHeight="1">
      <c r="A42" s="55"/>
      <c r="L42" s="54"/>
    </row>
    <row r="43" spans="1:12" ht="20.100000000000001" customHeight="1">
      <c r="A43" s="55"/>
      <c r="L43" s="54"/>
    </row>
    <row r="44" spans="1:12" ht="20.100000000000001" customHeight="1">
      <c r="A44" s="55"/>
      <c r="B44" s="56" t="s">
        <v>804</v>
      </c>
      <c r="C44" s="1017">
        <v>2.5</v>
      </c>
      <c r="D44" s="1017"/>
      <c r="E44" s="56" t="s">
        <v>805</v>
      </c>
      <c r="F44" s="1017">
        <v>3</v>
      </c>
      <c r="G44" s="1017"/>
      <c r="H44" s="1017" t="s">
        <v>806</v>
      </c>
      <c r="I44" s="1017">
        <v>3</v>
      </c>
      <c r="J44" s="1017"/>
      <c r="K44" s="1017" t="s">
        <v>805</v>
      </c>
      <c r="L44" s="54"/>
    </row>
    <row r="45" spans="1:12" ht="20.100000000000001" customHeight="1">
      <c r="A45" s="55"/>
      <c r="B45" s="57" t="s">
        <v>807</v>
      </c>
      <c r="C45" s="60"/>
      <c r="D45" s="3"/>
      <c r="E45" s="57" t="s">
        <v>808</v>
      </c>
      <c r="F45" s="60"/>
      <c r="G45" s="3"/>
      <c r="H45" s="1017"/>
      <c r="I45" s="60"/>
      <c r="J45" s="3"/>
      <c r="K45" s="1017"/>
      <c r="L45" s="54"/>
    </row>
    <row r="46" spans="1:12" ht="20.100000000000001" customHeight="1">
      <c r="A46" s="55"/>
      <c r="L46" s="61" t="s">
        <v>809</v>
      </c>
    </row>
    <row r="47" spans="1:12" ht="20.100000000000001" customHeight="1">
      <c r="A47" s="55"/>
      <c r="L47" s="54"/>
    </row>
    <row r="48" spans="1:12" ht="20.100000000000001" customHeight="1">
      <c r="A48" s="59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36"/>
    </row>
  </sheetData>
  <mergeCells count="18">
    <mergeCell ref="A2:A3"/>
    <mergeCell ref="H44:H45"/>
    <mergeCell ref="B38:B39"/>
    <mergeCell ref="E38:E39"/>
    <mergeCell ref="H38:H39"/>
    <mergeCell ref="H32:H33"/>
    <mergeCell ref="E28:E29"/>
    <mergeCell ref="B34:B35"/>
    <mergeCell ref="F38:G38"/>
    <mergeCell ref="C38:D38"/>
    <mergeCell ref="C44:D44"/>
    <mergeCell ref="F44:G44"/>
    <mergeCell ref="I44:J44"/>
    <mergeCell ref="L2:L3"/>
    <mergeCell ref="B2:F2"/>
    <mergeCell ref="G2:K2"/>
    <mergeCell ref="K44:K45"/>
    <mergeCell ref="I38:J38"/>
  </mergeCells>
  <phoneticPr fontId="3" type="noConversion"/>
  <printOptions horizontalCentered="1"/>
  <pageMargins left="0.39370078740157483" right="0.39370078740157483" top="0.78740157480314965" bottom="0.59055118110236227" header="0" footer="0"/>
  <pageSetup paperSize="9" orientation="landscape" r:id="rId1"/>
  <headerFooter alignWithMargins="0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34</vt:i4>
      </vt:variant>
      <vt:variant>
        <vt:lpstr>이름 지정된 범위</vt:lpstr>
      </vt:variant>
      <vt:variant>
        <vt:i4>27</vt:i4>
      </vt:variant>
    </vt:vector>
  </HeadingPairs>
  <TitlesOfParts>
    <vt:vector size="61" baseType="lpstr">
      <vt:lpstr>표지</vt:lpstr>
      <vt:lpstr>사업개요</vt:lpstr>
      <vt:lpstr>상세위치도</vt:lpstr>
      <vt:lpstr>수지예산서</vt:lpstr>
      <vt:lpstr>폐기물처리비</vt:lpstr>
      <vt:lpstr>자재대</vt:lpstr>
      <vt:lpstr>토목총괄표</vt:lpstr>
      <vt:lpstr>총공사비</vt:lpstr>
      <vt:lpstr>토목공사비</vt:lpstr>
      <vt:lpstr>재료집계표</vt:lpstr>
      <vt:lpstr>덮개단면도</vt:lpstr>
      <vt:lpstr>재료계산서</vt:lpstr>
      <vt:lpstr>단가일람</vt:lpstr>
      <vt:lpstr>단가내역</vt:lpstr>
      <vt:lpstr>단가산출</vt:lpstr>
      <vt:lpstr>기초일람</vt:lpstr>
      <vt:lpstr>기초내역</vt:lpstr>
      <vt:lpstr>기초단위당</vt:lpstr>
      <vt:lpstr>기초작업량</vt:lpstr>
      <vt:lpstr>자재일람</vt:lpstr>
      <vt:lpstr>자재내역</vt:lpstr>
      <vt:lpstr>자재단위당</vt:lpstr>
      <vt:lpstr>자재작업량</vt:lpstr>
      <vt:lpstr>중기단위당</vt:lpstr>
      <vt:lpstr>중기작업량</vt:lpstr>
      <vt:lpstr>중기일람</vt:lpstr>
      <vt:lpstr>중기내역</vt:lpstr>
      <vt:lpstr>중기가격</vt:lpstr>
      <vt:lpstr>노임</vt:lpstr>
      <vt:lpstr>자재</vt:lpstr>
      <vt:lpstr>구역화물</vt:lpstr>
      <vt:lpstr>운반거리</vt:lpstr>
      <vt:lpstr>Sheet1</vt:lpstr>
      <vt:lpstr>Sheet2</vt:lpstr>
      <vt:lpstr>구역화물!Print_Area</vt:lpstr>
      <vt:lpstr>단가내역!Print_Area</vt:lpstr>
      <vt:lpstr>단가산출!Print_Area</vt:lpstr>
      <vt:lpstr>단가일람!Print_Area</vt:lpstr>
      <vt:lpstr>덮개단면도!Print_Area</vt:lpstr>
      <vt:lpstr>상세위치도!Print_Area</vt:lpstr>
      <vt:lpstr>수지예산서!Print_Area</vt:lpstr>
      <vt:lpstr>자재!Print_Area</vt:lpstr>
      <vt:lpstr>자재대!Print_Area</vt:lpstr>
      <vt:lpstr>자재작업량!Print_Area</vt:lpstr>
      <vt:lpstr>재료계산서!Print_Area</vt:lpstr>
      <vt:lpstr>중기가격!Print_Area</vt:lpstr>
      <vt:lpstr>토목공사비!Print_Area</vt:lpstr>
      <vt:lpstr>토목총괄표!Print_Area</vt:lpstr>
      <vt:lpstr>기초내역!Print_Titles</vt:lpstr>
      <vt:lpstr>기초일람!Print_Titles</vt:lpstr>
      <vt:lpstr>단가내역!Print_Titles</vt:lpstr>
      <vt:lpstr>단가산출!Print_Titles</vt:lpstr>
      <vt:lpstr>단가일람!Print_Titles</vt:lpstr>
      <vt:lpstr>자재!Print_Titles</vt:lpstr>
      <vt:lpstr>자재내역!Print_Titles</vt:lpstr>
      <vt:lpstr>자재단위당!Print_Titles</vt:lpstr>
      <vt:lpstr>중기가격!Print_Titles</vt:lpstr>
      <vt:lpstr>중기단위당!Print_Titles</vt:lpstr>
      <vt:lpstr>중기일람!Print_Titles</vt:lpstr>
      <vt:lpstr>총공사비!Print_Titles</vt:lpstr>
      <vt:lpstr>토목공사비!Print_Titles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</dc:creator>
  <cp:lastModifiedBy>EKR</cp:lastModifiedBy>
  <cp:lastPrinted>2026-02-04T23:59:25Z</cp:lastPrinted>
  <dcterms:created xsi:type="dcterms:W3CDTF">1997-08-06T10:34:36Z</dcterms:created>
  <dcterms:modified xsi:type="dcterms:W3CDTF">2026-09-16T00:10:40Z</dcterms:modified>
</cp:coreProperties>
</file>