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아자아자\공고문\공사(2026)\80.2026년 계양구 관내 민원처리 빗물받이 정비공사\"/>
    </mc:Choice>
  </mc:AlternateContent>
  <xr:revisionPtr revIDLastSave="0" documentId="13_ncr:1_{4407F7C9-1DC6-49B4-A560-326C27013CA5}" xr6:coauthVersionLast="36" xr6:coauthVersionMax="47" xr10:uidLastSave="{00000000-0000-0000-0000-000000000000}"/>
  <bookViews>
    <workbookView xWindow="3465" yWindow="795" windowWidth="22455" windowHeight="13980" tabRatio="1000" firstSheet="1" activeTab="1" xr2:uid="{00000000-000D-0000-FFFF-FFFF00000000}"/>
  </bookViews>
  <sheets>
    <sheet name="공사원가계산서" sheetId="3" state="hidden" r:id="rId1"/>
    <sheet name="총괄내역서" sheetId="4" r:id="rId2"/>
    <sheet name="설계내역서" sheetId="5" r:id="rId3"/>
    <sheet name="일위대가수량금액집계표" sheetId="8" state="hidden" r:id="rId4"/>
    <sheet name="단가산출근거수량금액집계표" sheetId="11" state="hidden" r:id="rId5"/>
    <sheet name="환율및기초자료" sheetId="12" state="hidden" r:id="rId6"/>
    <sheet name="재료비수량금액집계표" sheetId="19" state="hidden" r:id="rId7"/>
    <sheet name="노무비수량금액집계표" sheetId="20" state="hidden" r:id="rId8"/>
    <sheet name="중기시간금액집계표" sheetId="21" state="hidden" r:id="rId9"/>
    <sheet name="〓 INITIAL 〓" sheetId="22" state="veryHidden" r:id="rId10"/>
  </sheets>
  <definedNames>
    <definedName name="_xlnm.Print_Area" localSheetId="0">공사원가계산서!$A:$F</definedName>
    <definedName name="_xlnm.Print_Area" localSheetId="7">노무비수량금액집계표!$A:$H</definedName>
    <definedName name="_xlnm.Print_Area" localSheetId="4">단가산출근거수량금액집계표!$A:$J</definedName>
    <definedName name="_xlnm.Print_Area" localSheetId="2">설계내역서!$A$1:$N$30</definedName>
    <definedName name="_xlnm.Print_Area" localSheetId="3">일위대가수량금액집계표!$A:$J</definedName>
    <definedName name="_xlnm.Print_Area" localSheetId="6">재료비수량금액집계표!$A:$H</definedName>
    <definedName name="_xlnm.Print_Area" localSheetId="8">중기시간금액집계표!$A:$J</definedName>
    <definedName name="_xlnm.Print_Area" localSheetId="1">총괄내역서!$A$1:$H$27</definedName>
    <definedName name="_xlnm.Print_Area" localSheetId="5">환율및기초자료!$A:$H</definedName>
    <definedName name="_xlnm.Print_Titles" localSheetId="0">공사원가계산서!$1:$4</definedName>
    <definedName name="_xlnm.Print_Titles" localSheetId="7">노무비수량금액집계표!$1:$3</definedName>
    <definedName name="_xlnm.Print_Titles" localSheetId="4">단가산출근거수량금액집계표!$1:$3</definedName>
    <definedName name="_xlnm.Print_Titles" localSheetId="2">설계내역서!$1:$4</definedName>
    <definedName name="_xlnm.Print_Titles" localSheetId="3">일위대가수량금액집계표!$1:$3</definedName>
    <definedName name="_xlnm.Print_Titles" localSheetId="6">재료비수량금액집계표!$1:$3</definedName>
    <definedName name="_xlnm.Print_Titles" localSheetId="8">중기시간금액집계표!$1:$3</definedName>
    <definedName name="_xlnm.Print_Titles" localSheetId="1">총괄내역서!$1:$3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4" l="1"/>
  <c r="D16" i="4" l="1"/>
  <c r="D18" i="4" l="1"/>
  <c r="D17" i="4"/>
  <c r="L26" i="5"/>
  <c r="K26" i="5"/>
  <c r="M26" i="5" s="1"/>
  <c r="G23" i="4" l="1"/>
  <c r="J23" i="5" l="1"/>
  <c r="J24" i="5"/>
  <c r="J25" i="5"/>
  <c r="H25" i="5"/>
  <c r="F25" i="5"/>
  <c r="H24" i="5"/>
  <c r="F24" i="5"/>
  <c r="H23" i="5"/>
  <c r="F23" i="5"/>
  <c r="L25" i="5" l="1"/>
  <c r="L23" i="5"/>
  <c r="L24" i="5"/>
  <c r="F15" i="3" l="1"/>
  <c r="F26" i="19"/>
  <c r="G26" i="19" s="1"/>
  <c r="D4" i="22"/>
  <c r="D6" i="22"/>
  <c r="C6" i="22" s="1"/>
  <c r="D7" i="22"/>
  <c r="C7" i="22" s="1"/>
  <c r="D8" i="22"/>
  <c r="C8" i="22" s="1"/>
  <c r="D10" i="22"/>
  <c r="C10" i="22" s="1"/>
  <c r="I10" i="22" s="1"/>
  <c r="D11" i="22"/>
  <c r="C11" i="22" s="1"/>
  <c r="D13" i="22"/>
  <c r="C13" i="22" s="1"/>
  <c r="D14" i="22"/>
  <c r="C14" i="22" s="1"/>
  <c r="D15" i="22"/>
  <c r="C15" i="22" s="1"/>
  <c r="D16" i="22"/>
  <c r="C16" i="22" s="1"/>
  <c r="D17" i="22"/>
  <c r="C17" i="22" s="1"/>
  <c r="D18" i="22"/>
  <c r="C18" i="22" s="1"/>
  <c r="D19" i="22"/>
  <c r="C19" i="22" s="1"/>
  <c r="D20" i="22"/>
  <c r="C20" i="22" s="1"/>
  <c r="D21" i="22"/>
  <c r="D30" i="22"/>
  <c r="C32" i="22"/>
  <c r="D32" i="22"/>
  <c r="E32" i="22"/>
  <c r="F32" i="22"/>
  <c r="G32" i="22"/>
  <c r="H32" i="22"/>
  <c r="I32" i="22"/>
  <c r="J32" i="22"/>
  <c r="D49" i="22"/>
  <c r="D72" i="22"/>
  <c r="G2" i="3"/>
  <c r="H4" i="3"/>
  <c r="F10" i="3"/>
  <c r="F13" i="3"/>
  <c r="F14" i="3"/>
  <c r="F16" i="3"/>
  <c r="F17" i="3"/>
  <c r="F18" i="3"/>
  <c r="F19" i="3"/>
  <c r="F20" i="3"/>
  <c r="F21" i="3"/>
  <c r="F24" i="3"/>
  <c r="F25" i="3"/>
  <c r="F27" i="3"/>
  <c r="I2" i="20"/>
  <c r="J3" i="20"/>
  <c r="F4" i="20"/>
  <c r="G4" i="20" s="1"/>
  <c r="F5" i="20"/>
  <c r="G5" i="20" s="1"/>
  <c r="F6" i="20"/>
  <c r="G6" i="20" s="1"/>
  <c r="F7" i="20"/>
  <c r="G7" i="20" s="1"/>
  <c r="F8" i="20"/>
  <c r="G8" i="20" s="1"/>
  <c r="F9" i="20"/>
  <c r="G9" i="20" s="1"/>
  <c r="L18" i="11"/>
  <c r="K2" i="11"/>
  <c r="L3" i="11"/>
  <c r="O2" i="5"/>
  <c r="AC4" i="5"/>
  <c r="O5" i="5"/>
  <c r="AC9" i="5"/>
  <c r="K2" i="8"/>
  <c r="L3" i="8"/>
  <c r="F9" i="8"/>
  <c r="F6" i="19"/>
  <c r="G6" i="19" s="1"/>
  <c r="F12" i="19"/>
  <c r="G12" i="19" s="1"/>
  <c r="F15" i="19"/>
  <c r="G15" i="19" s="1"/>
  <c r="F22" i="19"/>
  <c r="G22" i="19" s="1"/>
  <c r="F24" i="19"/>
  <c r="G24" i="19" s="1"/>
  <c r="F27" i="19"/>
  <c r="G27" i="19" s="1"/>
  <c r="F28" i="19"/>
  <c r="G28" i="19" s="1"/>
  <c r="F38" i="19"/>
  <c r="G38" i="19" s="1"/>
  <c r="I2" i="19"/>
  <c r="J3" i="19"/>
  <c r="F11" i="19"/>
  <c r="G11" i="19" s="1"/>
  <c r="K2" i="21"/>
  <c r="L3" i="21"/>
  <c r="H2" i="4"/>
  <c r="Q3" i="4"/>
  <c r="D6" i="4"/>
  <c r="D7" i="4"/>
  <c r="D8" i="4"/>
  <c r="D9" i="4"/>
  <c r="D10" i="4"/>
  <c r="D11" i="4"/>
  <c r="D13" i="4"/>
  <c r="D14" i="4"/>
  <c r="D15" i="4"/>
  <c r="D20" i="4"/>
  <c r="D25" i="4"/>
  <c r="I2" i="12"/>
  <c r="D6" i="12"/>
  <c r="G6" i="12" s="1"/>
  <c r="D7" i="12"/>
  <c r="G7" i="12" s="1"/>
  <c r="D8" i="12"/>
  <c r="G8" i="12" s="1"/>
  <c r="F12" i="12"/>
  <c r="F13" i="12"/>
  <c r="F14" i="12"/>
  <c r="AC7" i="5" l="1"/>
  <c r="G10" i="8"/>
  <c r="F5" i="19"/>
  <c r="G5" i="19" s="1"/>
  <c r="F10" i="19"/>
  <c r="G10" i="19" s="1"/>
  <c r="H12" i="21"/>
  <c r="F15" i="12"/>
  <c r="F19" i="19"/>
  <c r="G19" i="19" s="1"/>
  <c r="F7" i="19"/>
  <c r="G7" i="19" s="1"/>
  <c r="F23" i="19"/>
  <c r="G23" i="19" s="1"/>
  <c r="F4" i="19"/>
  <c r="G4" i="19" s="1"/>
  <c r="G37" i="8"/>
  <c r="G13" i="8"/>
  <c r="H13" i="8"/>
  <c r="H9" i="8"/>
  <c r="H14" i="8"/>
  <c r="H10" i="8"/>
  <c r="H38" i="8"/>
  <c r="F44" i="19"/>
  <c r="G44" i="19" s="1"/>
  <c r="F43" i="19"/>
  <c r="G43" i="19" s="1"/>
  <c r="F40" i="19"/>
  <c r="G40" i="19" s="1"/>
  <c r="F39" i="19"/>
  <c r="G39" i="19" s="1"/>
  <c r="F32" i="19"/>
  <c r="G32" i="19" s="1"/>
  <c r="F35" i="19"/>
  <c r="G35" i="19" s="1"/>
  <c r="F31" i="19"/>
  <c r="G31" i="19" s="1"/>
  <c r="H4" i="21"/>
  <c r="J13" i="12"/>
  <c r="J8" i="12"/>
  <c r="J6" i="12"/>
  <c r="L4" i="8"/>
  <c r="J14" i="12"/>
  <c r="J12" i="12"/>
  <c r="J7" i="12"/>
  <c r="Q4" i="4"/>
  <c r="Q5" i="4"/>
  <c r="L40" i="8"/>
  <c r="L15" i="21"/>
  <c r="L23" i="21"/>
  <c r="L22" i="11"/>
  <c r="L7" i="21"/>
  <c r="J24" i="19"/>
  <c r="J5" i="20"/>
  <c r="J9" i="19"/>
  <c r="L17" i="8"/>
  <c r="L10" i="8"/>
  <c r="L37" i="8"/>
  <c r="L22" i="8"/>
  <c r="L14" i="8"/>
  <c r="L6" i="11"/>
  <c r="J8" i="20"/>
  <c r="J6" i="20"/>
  <c r="J4" i="20"/>
  <c r="L35" i="8"/>
  <c r="L28" i="8"/>
  <c r="L14" i="11"/>
  <c r="H20" i="21"/>
  <c r="H18" i="21"/>
  <c r="H10" i="21"/>
  <c r="J40" i="19"/>
  <c r="F9" i="19"/>
  <c r="G9" i="19" s="1"/>
  <c r="J9" i="20"/>
  <c r="J7" i="20"/>
  <c r="G11" i="8"/>
  <c r="F16" i="19"/>
  <c r="G16" i="19" s="1"/>
  <c r="H11" i="8"/>
  <c r="L19" i="21"/>
  <c r="H21" i="21"/>
  <c r="H16" i="21"/>
  <c r="H9" i="21"/>
  <c r="J41" i="19"/>
  <c r="J39" i="19"/>
  <c r="F36" i="19"/>
  <c r="G36" i="19" s="1"/>
  <c r="J25" i="19"/>
  <c r="J23" i="19"/>
  <c r="F20" i="19"/>
  <c r="G20" i="19" s="1"/>
  <c r="L31" i="8"/>
  <c r="L29" i="8"/>
  <c r="L24" i="8"/>
  <c r="L18" i="8"/>
  <c r="L11" i="8"/>
  <c r="L6" i="8"/>
  <c r="J15" i="12"/>
  <c r="J29" i="19"/>
  <c r="J13" i="19"/>
  <c r="J7" i="19"/>
  <c r="L33" i="8"/>
  <c r="L30" i="8"/>
  <c r="L25" i="8"/>
  <c r="L20" i="8"/>
  <c r="L7" i="8"/>
  <c r="J16" i="12"/>
  <c r="L11" i="21"/>
  <c r="J43" i="19"/>
  <c r="J36" i="19"/>
  <c r="J34" i="19"/>
  <c r="J30" i="19"/>
  <c r="J27" i="19"/>
  <c r="J20" i="19"/>
  <c r="J18" i="19"/>
  <c r="J14" i="19"/>
  <c r="J11" i="19"/>
  <c r="J5" i="19"/>
  <c r="L39" i="8"/>
  <c r="L34" i="8"/>
  <c r="L26" i="8"/>
  <c r="L21" i="8"/>
  <c r="L16" i="8"/>
  <c r="L13" i="8"/>
  <c r="L8" i="8"/>
  <c r="AC19" i="5"/>
  <c r="G18" i="22"/>
  <c r="H18" i="22"/>
  <c r="L18" i="22"/>
  <c r="X18" i="22"/>
  <c r="P18" i="22"/>
  <c r="F19" i="22"/>
  <c r="K19" i="22"/>
  <c r="S19" i="22"/>
  <c r="L19" i="22"/>
  <c r="X19" i="22"/>
  <c r="H19" i="22"/>
  <c r="P19" i="22"/>
  <c r="G19" i="22"/>
  <c r="O19" i="22"/>
  <c r="G7" i="22"/>
  <c r="I7" i="22"/>
  <c r="X7" i="22"/>
  <c r="I17" i="22"/>
  <c r="E17" i="22"/>
  <c r="K17" i="22"/>
  <c r="P17" i="22"/>
  <c r="F17" i="22"/>
  <c r="L17" i="22"/>
  <c r="X17" i="22"/>
  <c r="J17" i="22"/>
  <c r="O17" i="22"/>
  <c r="G17" i="22"/>
  <c r="N17" i="22"/>
  <c r="F8" i="22"/>
  <c r="X8" i="22"/>
  <c r="L8" i="22"/>
  <c r="I8" i="22"/>
  <c r="G8" i="22"/>
  <c r="L20" i="21"/>
  <c r="L12" i="21"/>
  <c r="L4" i="21"/>
  <c r="AC12" i="5"/>
  <c r="J10" i="22"/>
  <c r="L21" i="21"/>
  <c r="L17" i="21"/>
  <c r="L13" i="21"/>
  <c r="L9" i="21"/>
  <c r="L5" i="21"/>
  <c r="J42" i="19"/>
  <c r="J37" i="19"/>
  <c r="J35" i="19"/>
  <c r="J32" i="19"/>
  <c r="J26" i="19"/>
  <c r="J21" i="19"/>
  <c r="J19" i="19"/>
  <c r="J16" i="19"/>
  <c r="J10" i="19"/>
  <c r="J8" i="19"/>
  <c r="L38" i="8"/>
  <c r="L36" i="8"/>
  <c r="L32" i="8"/>
  <c r="L27" i="8"/>
  <c r="L23" i="8"/>
  <c r="L19" i="8"/>
  <c r="L15" i="8"/>
  <c r="L12" i="8"/>
  <c r="L9" i="8"/>
  <c r="L5" i="8"/>
  <c r="AC16" i="5"/>
  <c r="K10" i="22"/>
  <c r="E10" i="22"/>
  <c r="G10" i="22"/>
  <c r="L16" i="21"/>
  <c r="L8" i="21"/>
  <c r="L22" i="21"/>
  <c r="L18" i="21"/>
  <c r="L14" i="21"/>
  <c r="L10" i="21"/>
  <c r="L6" i="21"/>
  <c r="J44" i="19"/>
  <c r="J38" i="19"/>
  <c r="J33" i="19"/>
  <c r="J31" i="19"/>
  <c r="J28" i="19"/>
  <c r="J22" i="19"/>
  <c r="J17" i="19"/>
  <c r="J15" i="19"/>
  <c r="J12" i="19"/>
  <c r="J6" i="19"/>
  <c r="J4" i="19"/>
  <c r="L10" i="22"/>
  <c r="F10" i="22"/>
  <c r="G17" i="21"/>
  <c r="H17" i="21"/>
  <c r="F16" i="12"/>
  <c r="F42" i="19"/>
  <c r="G42" i="19" s="1"/>
  <c r="F34" i="19"/>
  <c r="G34" i="19" s="1"/>
  <c r="F30" i="19"/>
  <c r="G30" i="19" s="1"/>
  <c r="F18" i="19"/>
  <c r="G18" i="19" s="1"/>
  <c r="F14" i="19"/>
  <c r="G14" i="19" s="1"/>
  <c r="F41" i="19"/>
  <c r="G41" i="19" s="1"/>
  <c r="F37" i="19"/>
  <c r="G37" i="19" s="1"/>
  <c r="F33" i="19"/>
  <c r="G33" i="19" s="1"/>
  <c r="F29" i="19"/>
  <c r="G29" i="19" s="1"/>
  <c r="F25" i="19"/>
  <c r="G25" i="19" s="1"/>
  <c r="F21" i="19"/>
  <c r="G21" i="19" s="1"/>
  <c r="F17" i="19"/>
  <c r="G17" i="19" s="1"/>
  <c r="F13" i="19"/>
  <c r="G13" i="19" s="1"/>
  <c r="H9" i="3"/>
  <c r="H10" i="3"/>
  <c r="H24" i="3"/>
  <c r="H25" i="3"/>
  <c r="H26" i="3"/>
  <c r="H27" i="3"/>
  <c r="H5" i="3"/>
  <c r="H12" i="3"/>
  <c r="H13" i="3"/>
  <c r="H14" i="3"/>
  <c r="H15" i="3"/>
  <c r="H16" i="3"/>
  <c r="H17" i="3"/>
  <c r="H18" i="3"/>
  <c r="H19" i="3"/>
  <c r="H20" i="3"/>
  <c r="H21" i="3"/>
  <c r="H28" i="3"/>
  <c r="F8" i="19"/>
  <c r="G8" i="19" s="1"/>
  <c r="G6" i="8"/>
  <c r="H6" i="8"/>
  <c r="H8" i="8"/>
  <c r="F8" i="8"/>
  <c r="L5" i="11"/>
  <c r="L9" i="11"/>
  <c r="L13" i="11"/>
  <c r="L17" i="11"/>
  <c r="L21" i="11"/>
  <c r="L4" i="11"/>
  <c r="L8" i="11"/>
  <c r="L12" i="11"/>
  <c r="L16" i="11"/>
  <c r="L20" i="11"/>
  <c r="L7" i="11"/>
  <c r="L11" i="11"/>
  <c r="L15" i="11"/>
  <c r="L19" i="11"/>
  <c r="AC15" i="5"/>
  <c r="AC8" i="5"/>
  <c r="AC14" i="5"/>
  <c r="AC13" i="5"/>
  <c r="AC17" i="5"/>
  <c r="AC10" i="5"/>
  <c r="L10" i="11"/>
  <c r="G16" i="22"/>
  <c r="K16" i="22"/>
  <c r="O16" i="22"/>
  <c r="S16" i="22"/>
  <c r="F16" i="22"/>
  <c r="J16" i="22"/>
  <c r="N16" i="22"/>
  <c r="R16" i="22"/>
  <c r="E16" i="22"/>
  <c r="I16" i="22"/>
  <c r="M16" i="22"/>
  <c r="Q16" i="22"/>
  <c r="H16" i="22"/>
  <c r="L16" i="22"/>
  <c r="P16" i="22"/>
  <c r="X16" i="22"/>
  <c r="I11" i="22"/>
  <c r="N11" i="22"/>
  <c r="G11" i="22"/>
  <c r="L11" i="22"/>
  <c r="X11" i="22"/>
  <c r="F11" i="22"/>
  <c r="K11" i="22"/>
  <c r="R11" i="22"/>
  <c r="J11" i="22"/>
  <c r="P11" i="22"/>
  <c r="K20" i="22"/>
  <c r="R20" i="22"/>
  <c r="J20" i="22"/>
  <c r="P20" i="22"/>
  <c r="F20" i="22"/>
  <c r="N20" i="22"/>
  <c r="E20" i="22"/>
  <c r="L20" i="22"/>
  <c r="X20" i="22"/>
  <c r="I13" i="22"/>
  <c r="N13" i="22"/>
  <c r="G13" i="22"/>
  <c r="L13" i="22"/>
  <c r="X13" i="22"/>
  <c r="F13" i="22"/>
  <c r="K13" i="22"/>
  <c r="R13" i="22"/>
  <c r="J13" i="22"/>
  <c r="P13" i="22"/>
  <c r="J6" i="22"/>
  <c r="I6" i="22"/>
  <c r="X6" i="22"/>
  <c r="G6" i="22"/>
  <c r="L6" i="22"/>
  <c r="F6" i="22"/>
  <c r="K6" i="22"/>
  <c r="I14" i="22"/>
  <c r="N14" i="22"/>
  <c r="G14" i="22"/>
  <c r="L14" i="22"/>
  <c r="X14" i="22"/>
  <c r="F14" i="22"/>
  <c r="K14" i="22"/>
  <c r="R14" i="22"/>
  <c r="J14" i="22"/>
  <c r="P14" i="22"/>
  <c r="I15" i="22"/>
  <c r="M15" i="22"/>
  <c r="Q15" i="22"/>
  <c r="U15" i="22"/>
  <c r="G15" i="22"/>
  <c r="L15" i="22"/>
  <c r="P15" i="22"/>
  <c r="T15" i="22"/>
  <c r="X15" i="22"/>
  <c r="F15" i="22"/>
  <c r="K15" i="22"/>
  <c r="O15" i="22"/>
  <c r="S15" i="22"/>
  <c r="W15" i="22"/>
  <c r="J15" i="22"/>
  <c r="N15" i="22"/>
  <c r="R15" i="22"/>
  <c r="V15" i="22"/>
  <c r="J7" i="22"/>
  <c r="Q18" i="22"/>
  <c r="M18" i="22"/>
  <c r="I18" i="22"/>
  <c r="J8" i="22"/>
  <c r="K7" i="22"/>
  <c r="F7" i="22"/>
  <c r="Q19" i="22"/>
  <c r="M19" i="22"/>
  <c r="I19" i="22"/>
  <c r="R18" i="22"/>
  <c r="N18" i="22"/>
  <c r="J18" i="22"/>
  <c r="F18" i="22"/>
  <c r="Q17" i="22"/>
  <c r="M17" i="22"/>
  <c r="X10" i="22"/>
  <c r="K8" i="22"/>
  <c r="L7" i="22"/>
  <c r="R19" i="22"/>
  <c r="N19" i="22"/>
  <c r="J19" i="22"/>
  <c r="S18" i="22"/>
  <c r="O18" i="22"/>
  <c r="K18" i="22"/>
  <c r="H5" i="8" l="1"/>
  <c r="H19" i="21"/>
  <c r="H22" i="21"/>
  <c r="H15" i="21"/>
  <c r="G38" i="8"/>
  <c r="H8" i="21"/>
  <c r="H12" i="8"/>
  <c r="G5" i="8"/>
  <c r="H5" i="21"/>
  <c r="H37" i="8"/>
  <c r="H6" i="21"/>
  <c r="H14" i="21"/>
  <c r="H13" i="21"/>
  <c r="H11" i="21"/>
  <c r="H7" i="21"/>
  <c r="C4" i="22"/>
  <c r="G9" i="8"/>
  <c r="I9" i="8" s="1"/>
  <c r="G13" i="21"/>
  <c r="G14" i="8"/>
  <c r="G8" i="8"/>
  <c r="I8" i="8" s="1"/>
  <c r="F17" i="21"/>
  <c r="I17" i="21" s="1"/>
  <c r="F14" i="8"/>
  <c r="H23" i="21" l="1"/>
  <c r="G12" i="8"/>
  <c r="I14" i="8"/>
  <c r="F6" i="8"/>
  <c r="I6" i="8" s="1"/>
  <c r="F11" i="8"/>
  <c r="I11" i="8" s="1"/>
  <c r="G14" i="21" l="1"/>
  <c r="G19" i="21"/>
  <c r="G7" i="21"/>
  <c r="F13" i="8"/>
  <c r="I13" i="8" s="1"/>
  <c r="F10" i="8"/>
  <c r="I10" i="8" s="1"/>
  <c r="G4" i="21"/>
  <c r="G18" i="21"/>
  <c r="G10" i="21"/>
  <c r="G22" i="21"/>
  <c r="G12" i="21"/>
  <c r="H13" i="11"/>
  <c r="G15" i="21"/>
  <c r="G5" i="21"/>
  <c r="G9" i="21"/>
  <c r="G21" i="21"/>
  <c r="F5" i="8"/>
  <c r="I5" i="8" s="1"/>
  <c r="G6" i="21"/>
  <c r="G23" i="21"/>
  <c r="G16" i="21"/>
  <c r="G20" i="21"/>
  <c r="G8" i="21"/>
  <c r="G11" i="21"/>
  <c r="F38" i="8" l="1"/>
  <c r="I38" i="8" s="1"/>
  <c r="H10" i="11"/>
  <c r="F37" i="8"/>
  <c r="I37" i="8" s="1"/>
  <c r="H14" i="11"/>
  <c r="H8" i="11"/>
  <c r="H12" i="11"/>
  <c r="G14" i="11"/>
  <c r="H9" i="11"/>
  <c r="H11" i="11" l="1"/>
  <c r="H16" i="11"/>
  <c r="H4" i="11"/>
  <c r="H20" i="11"/>
  <c r="H19" i="11"/>
  <c r="H17" i="11"/>
  <c r="H7" i="11"/>
  <c r="H18" i="11"/>
  <c r="H21" i="11"/>
  <c r="G20" i="11"/>
  <c r="F4" i="21"/>
  <c r="I4" i="21" s="1"/>
  <c r="F11" i="21"/>
  <c r="I11" i="21" s="1"/>
  <c r="G17" i="11"/>
  <c r="G19" i="11"/>
  <c r="H21" i="8" l="1"/>
  <c r="H27" i="8"/>
  <c r="H19" i="8"/>
  <c r="H22" i="8"/>
  <c r="H17" i="8"/>
  <c r="F18" i="21"/>
  <c r="I18" i="21" s="1"/>
  <c r="H20" i="8"/>
  <c r="F19" i="21"/>
  <c r="I19" i="21" s="1"/>
  <c r="F15" i="21"/>
  <c r="I15" i="21" s="1"/>
  <c r="F6" i="21"/>
  <c r="I6" i="21" s="1"/>
  <c r="F5" i="21"/>
  <c r="I5" i="21" s="1"/>
  <c r="F16" i="21"/>
  <c r="I16" i="21" s="1"/>
  <c r="H26" i="8"/>
  <c r="F13" i="21"/>
  <c r="I13" i="21" s="1"/>
  <c r="F23" i="21"/>
  <c r="I23" i="21" s="1"/>
  <c r="F8" i="21"/>
  <c r="I8" i="21" s="1"/>
  <c r="H23" i="8"/>
  <c r="H25" i="8"/>
  <c r="F10" i="21"/>
  <c r="I10" i="21" s="1"/>
  <c r="F20" i="21"/>
  <c r="I20" i="21" s="1"/>
  <c r="H15" i="8"/>
  <c r="F22" i="21"/>
  <c r="I22" i="21" s="1"/>
  <c r="H24" i="8"/>
  <c r="F9" i="21"/>
  <c r="I9" i="21" s="1"/>
  <c r="F21" i="21"/>
  <c r="I21" i="21" s="1"/>
  <c r="F12" i="21"/>
  <c r="I12" i="21" s="1"/>
  <c r="H18" i="8"/>
  <c r="F7" i="21"/>
  <c r="I7" i="21" s="1"/>
  <c r="H16" i="8"/>
  <c r="F14" i="21"/>
  <c r="I14" i="21" s="1"/>
  <c r="H29" i="8" l="1"/>
  <c r="H28" i="8"/>
  <c r="H30" i="8"/>
  <c r="G12" i="11"/>
  <c r="G13" i="11"/>
  <c r="F12" i="8"/>
  <c r="I12" i="8" s="1"/>
  <c r="G8" i="11"/>
  <c r="G11" i="11"/>
  <c r="G7" i="11"/>
  <c r="G9" i="11"/>
  <c r="G21" i="11"/>
  <c r="G10" i="11"/>
  <c r="G4" i="11" l="1"/>
  <c r="G16" i="11"/>
  <c r="G22" i="11"/>
  <c r="G18" i="11"/>
  <c r="G15" i="11"/>
  <c r="G5" i="11"/>
  <c r="H22" i="11"/>
  <c r="G22" i="8" l="1"/>
  <c r="G4" i="8"/>
  <c r="G29" i="8"/>
  <c r="G27" i="8"/>
  <c r="G21" i="8"/>
  <c r="G15" i="8"/>
  <c r="H7" i="8"/>
  <c r="G28" i="8"/>
  <c r="G16" i="8"/>
  <c r="G24" i="8"/>
  <c r="G18" i="8"/>
  <c r="G17" i="8"/>
  <c r="G30" i="8"/>
  <c r="G20" i="8"/>
  <c r="G25" i="8"/>
  <c r="G26" i="8"/>
  <c r="G19" i="8"/>
  <c r="G23" i="8"/>
  <c r="G33" i="8" l="1"/>
  <c r="G7" i="8"/>
  <c r="H36" i="8"/>
  <c r="H33" i="8"/>
  <c r="G6" i="11"/>
  <c r="H34" i="8"/>
  <c r="H35" i="8"/>
  <c r="G35" i="8" l="1"/>
  <c r="G36" i="8"/>
  <c r="G34" i="8"/>
  <c r="G40" i="8"/>
  <c r="H5" i="11"/>
  <c r="G32" i="8"/>
  <c r="G39" i="8"/>
  <c r="G31" i="8"/>
  <c r="H15" i="11"/>
  <c r="F20" i="11" l="1"/>
  <c r="I20" i="11" s="1"/>
  <c r="F13" i="11"/>
  <c r="I13" i="11" s="1"/>
  <c r="F14" i="11"/>
  <c r="I14" i="11" s="1"/>
  <c r="F17" i="11"/>
  <c r="I17" i="11" s="1"/>
  <c r="F8" i="11"/>
  <c r="I8" i="11" s="1"/>
  <c r="F21" i="11"/>
  <c r="I21" i="11" s="1"/>
  <c r="F5" i="11"/>
  <c r="I5" i="11" s="1"/>
  <c r="F12" i="11"/>
  <c r="I12" i="11" s="1"/>
  <c r="F10" i="11"/>
  <c r="I10" i="11" s="1"/>
  <c r="F19" i="11"/>
  <c r="I19" i="11" s="1"/>
  <c r="F9" i="11"/>
  <c r="I9" i="11" s="1"/>
  <c r="H4" i="8"/>
  <c r="F7" i="11"/>
  <c r="I7" i="11" s="1"/>
  <c r="F11" i="11"/>
  <c r="I11" i="11" s="1"/>
  <c r="F18" i="11"/>
  <c r="I18" i="11" s="1"/>
  <c r="F16" i="11"/>
  <c r="I16" i="11" s="1"/>
  <c r="I5" i="5"/>
  <c r="F22" i="11"/>
  <c r="I22" i="11" s="1"/>
  <c r="F4" i="11" l="1"/>
  <c r="I4" i="11" s="1"/>
  <c r="H6" i="11"/>
  <c r="E4" i="4"/>
  <c r="G16" i="4" s="1"/>
  <c r="E5" i="4" l="1"/>
  <c r="D9" i="3" s="1"/>
  <c r="D22" i="3" s="1"/>
  <c r="H40" i="8"/>
  <c r="H39" i="8"/>
  <c r="H31" i="8"/>
  <c r="H32" i="8"/>
  <c r="J10" i="4" l="1"/>
  <c r="G10" i="4"/>
  <c r="D16" i="3" s="1"/>
  <c r="G9" i="4"/>
  <c r="J9" i="4"/>
  <c r="G6" i="4"/>
  <c r="G17" i="4" s="1"/>
  <c r="G18" i="4"/>
  <c r="D10" i="3"/>
  <c r="D11" i="3" s="1"/>
  <c r="K5" i="5"/>
  <c r="G8" i="4"/>
  <c r="D14" i="3" s="1"/>
  <c r="F15" i="11"/>
  <c r="I15" i="11" s="1"/>
  <c r="D15" i="3"/>
  <c r="G11" i="4"/>
  <c r="D17" i="3" s="1"/>
  <c r="J11" i="4"/>
  <c r="G7" i="4" l="1"/>
  <c r="D13" i="3" s="1"/>
  <c r="F4" i="4"/>
  <c r="F5" i="4" s="1"/>
  <c r="D12" i="3" s="1"/>
  <c r="F16" i="8"/>
  <c r="I16" i="8" s="1"/>
  <c r="F30" i="8"/>
  <c r="I30" i="8" s="1"/>
  <c r="F21" i="8"/>
  <c r="I21" i="8" s="1"/>
  <c r="F4" i="8"/>
  <c r="I4" i="8" s="1"/>
  <c r="F28" i="8"/>
  <c r="I28" i="8" s="1"/>
  <c r="F25" i="8"/>
  <c r="I25" i="8" s="1"/>
  <c r="F29" i="8"/>
  <c r="I29" i="8" s="1"/>
  <c r="F17" i="8"/>
  <c r="I17" i="8" s="1"/>
  <c r="F22" i="8"/>
  <c r="I22" i="8" s="1"/>
  <c r="F18" i="8"/>
  <c r="I18" i="8" s="1"/>
  <c r="F20" i="8"/>
  <c r="I20" i="8" s="1"/>
  <c r="F27" i="8"/>
  <c r="I27" i="8" s="1"/>
  <c r="F23" i="8"/>
  <c r="I23" i="8" s="1"/>
  <c r="F19" i="8"/>
  <c r="I19" i="8" s="1"/>
  <c r="F26" i="8"/>
  <c r="I26" i="8" s="1"/>
  <c r="F15" i="8"/>
  <c r="I15" i="8" s="1"/>
  <c r="F24" i="8"/>
  <c r="I24" i="8" s="1"/>
  <c r="F6" i="11" l="1"/>
  <c r="I6" i="11" s="1"/>
  <c r="F7" i="8"/>
  <c r="I7" i="8" s="1"/>
  <c r="F40" i="8" l="1"/>
  <c r="I40" i="8" s="1"/>
  <c r="F39" i="8"/>
  <c r="I39" i="8" s="1"/>
  <c r="F36" i="8"/>
  <c r="I36" i="8" s="1"/>
  <c r="F33" i="8"/>
  <c r="I33" i="8" s="1"/>
  <c r="F35" i="8"/>
  <c r="I35" i="8" s="1"/>
  <c r="F31" i="8"/>
  <c r="I31" i="8" s="1"/>
  <c r="F32" i="8"/>
  <c r="I32" i="8" s="1"/>
  <c r="F34" i="8"/>
  <c r="I34" i="8" s="1"/>
  <c r="M5" i="5" l="1"/>
  <c r="G5" i="5"/>
  <c r="D4" i="4" l="1"/>
  <c r="D5" i="4" s="1"/>
  <c r="G4" i="4"/>
  <c r="G5" i="4" s="1"/>
  <c r="G15" i="4" l="1"/>
  <c r="D21" i="3" s="1"/>
  <c r="D5" i="3"/>
  <c r="G12" i="4"/>
  <c r="D18" i="3" s="1"/>
  <c r="J12" i="4"/>
  <c r="G13" i="4"/>
  <c r="D19" i="3" s="1"/>
  <c r="G14" i="4"/>
  <c r="D20" i="3" s="1"/>
  <c r="G19" i="4" l="1"/>
  <c r="G20" i="4" s="1"/>
  <c r="D23" i="3"/>
  <c r="D8" i="3"/>
  <c r="D24" i="3" l="1"/>
  <c r="G21" i="4"/>
  <c r="G22" i="4" l="1"/>
  <c r="G24" i="4" s="1"/>
  <c r="J21" i="4"/>
  <c r="J22" i="4" s="1"/>
  <c r="D22" i="4" s="1"/>
  <c r="L21" i="4"/>
  <c r="J25" i="4" l="1"/>
  <c r="I22" i="4" s="1"/>
  <c r="L22" i="4" l="1"/>
  <c r="L25" i="4" s="1"/>
  <c r="D25" i="3" l="1"/>
  <c r="D23" i="5"/>
  <c r="D24" i="5"/>
  <c r="G23" i="5" l="1"/>
  <c r="I23" i="5"/>
  <c r="K23" i="5"/>
  <c r="G24" i="5"/>
  <c r="D25" i="5"/>
  <c r="I24" i="5"/>
  <c r="K24" i="5"/>
  <c r="M23" i="5" l="1"/>
  <c r="I25" i="5"/>
  <c r="I21" i="5" s="1"/>
  <c r="G25" i="5"/>
  <c r="K25" i="5"/>
  <c r="M24" i="5"/>
  <c r="G21" i="5" l="1"/>
  <c r="M25" i="5"/>
  <c r="M21" i="5" s="1"/>
  <c r="P25" i="4" l="1"/>
  <c r="G25" i="4"/>
  <c r="G26" i="4" s="1"/>
  <c r="D26" i="3"/>
  <c r="P26" i="4" l="1"/>
  <c r="D28" i="3"/>
  <c r="D29" i="3" s="1"/>
  <c r="D27" i="3"/>
  <c r="P27" i="4" l="1"/>
  <c r="E16" i="3"/>
  <c r="E8" i="3"/>
  <c r="E13" i="3"/>
  <c r="E7" i="3"/>
  <c r="E6" i="3"/>
  <c r="E21" i="3"/>
  <c r="E12" i="3"/>
  <c r="E22" i="3"/>
  <c r="E20" i="3"/>
  <c r="E25" i="3"/>
  <c r="E14" i="3"/>
  <c r="E11" i="3"/>
  <c r="E24" i="3"/>
  <c r="E17" i="3"/>
  <c r="E5" i="3"/>
  <c r="E9" i="3"/>
  <c r="E23" i="3"/>
  <c r="E18" i="3"/>
  <c r="E10" i="3"/>
  <c r="E19" i="3"/>
  <c r="E15" i="3"/>
  <c r="E26" i="3"/>
  <c r="E27" i="3"/>
  <c r="E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3" authorId="0" shapeId="0" xr:uid="{00000000-0006-0000-0100-00000100000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  <comment ref="I22" authorId="0" shapeId="0" xr:uid="{00000000-0006-0000-0100-000002000000}">
      <text>
        <r>
          <rPr>
            <sz val="9"/>
            <color theme="1"/>
            <rFont val="굴림체"/>
            <family val="3"/>
            <charset val="129"/>
          </rPr>
          <t>이윤보정액 : 총공사비 금액이 다를경우 임의조정(±α) 하십시요</t>
        </r>
      </text>
    </comment>
    <comment ref="I26" authorId="0" shapeId="0" xr:uid="{00000000-0006-0000-0100-000003000000}">
      <text>
        <r>
          <rPr>
            <sz val="9"/>
            <color theme="1"/>
            <rFont val="굴림체"/>
            <family val="3"/>
            <charset val="129"/>
          </rPr>
          <t>부가세보정 : 총공사비 금액에 1원 차이 발생할 경우 부가세 조정(+1) 하십시요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4" authorId="0" shapeId="0" xr:uid="{00000000-0006-0000-0200-000001000000}">
      <text>
        <r>
          <rPr>
            <sz val="9"/>
            <color theme="1"/>
            <rFont val="굴림체"/>
            <family val="3"/>
            <charset val="129"/>
          </rPr>
          <t>주의) 현재행 아래 내용을 수정 또는 삭제하지 마십시요.</t>
        </r>
      </text>
    </comment>
  </commentList>
</comments>
</file>

<file path=xl/sharedStrings.xml><?xml version="1.0" encoding="utf-8"?>
<sst xmlns="http://schemas.openxmlformats.org/spreadsheetml/2006/main" count="992" uniqueCount="623">
  <si>
    <t>코드번호</t>
  </si>
  <si>
    <t>명      칭</t>
  </si>
  <si>
    <t>규      격</t>
  </si>
  <si>
    <t>단위</t>
  </si>
  <si>
    <t>재 료 비</t>
  </si>
  <si>
    <t>노 무 비</t>
  </si>
  <si>
    <t>경  비</t>
  </si>
  <si>
    <t>합  계</t>
  </si>
  <si>
    <t>비  고</t>
  </si>
  <si>
    <t>B07007</t>
  </si>
  <si>
    <t>보도형블록포장</t>
  </si>
  <si>
    <t>소형고압블럭</t>
  </si>
  <si>
    <t>㎡</t>
  </si>
  <si>
    <t>B07008</t>
  </si>
  <si>
    <t>콘크리트타설(25B)</t>
  </si>
  <si>
    <t>인력비빔타설(소형구조물)</t>
  </si>
  <si>
    <t>㎥</t>
  </si>
  <si>
    <t>B07009</t>
  </si>
  <si>
    <t>터파기(인력)</t>
  </si>
  <si>
    <t>0-1m</t>
  </si>
  <si>
    <t>m3</t>
  </si>
  <si>
    <t>B07010</t>
  </si>
  <si>
    <t>보조기층 운반 및 포설</t>
  </si>
  <si>
    <t>순환골재(40m/m)</t>
  </si>
  <si>
    <t>M3</t>
  </si>
  <si>
    <t>B07011</t>
  </si>
  <si>
    <t>교통신호수 배치</t>
  </si>
  <si>
    <t>보통인부</t>
  </si>
  <si>
    <t>명</t>
  </si>
  <si>
    <t>B07012</t>
  </si>
  <si>
    <t>되메우기(인력)</t>
  </si>
  <si>
    <t>보통토사(0~1m)</t>
  </si>
  <si>
    <t>B07013</t>
  </si>
  <si>
    <t>합판거푸집</t>
  </si>
  <si>
    <t>1회(재료비)</t>
  </si>
  <si>
    <t>M2</t>
  </si>
  <si>
    <t>B07014</t>
  </si>
  <si>
    <t>1회(노무비)</t>
  </si>
  <si>
    <t>M</t>
  </si>
  <si>
    <t>B07016</t>
  </si>
  <si>
    <t>4회  소형구조물</t>
  </si>
  <si>
    <t>B07017</t>
  </si>
  <si>
    <t>프라이머</t>
  </si>
  <si>
    <t>m2</t>
  </si>
  <si>
    <t>B07018</t>
  </si>
  <si>
    <t>잔토처리(인력)</t>
  </si>
  <si>
    <t>현장처리</t>
  </si>
  <si>
    <t>400*500(콘크리트,주철)</t>
  </si>
  <si>
    <t>EA</t>
  </si>
  <si>
    <t>500*500(콘크리트,주철)</t>
  </si>
  <si>
    <t>400*500(아스팔트,주철)</t>
  </si>
  <si>
    <t>500*500(아스팔트,주철)</t>
  </si>
  <si>
    <t>400*1000(콘크리트,주철)</t>
  </si>
  <si>
    <t>500*1000(콘크리트,주철)</t>
  </si>
  <si>
    <t>400*1000(아스팔트,주철)</t>
  </si>
  <si>
    <t>500*1000(아스팔트,주철)</t>
  </si>
  <si>
    <t>400*500(보도블럭,주철)</t>
  </si>
  <si>
    <t>500*500(보도블럭,주철)</t>
  </si>
  <si>
    <t>B07032</t>
  </si>
  <si>
    <t>B07033</t>
  </si>
  <si>
    <t>B07034</t>
  </si>
  <si>
    <t>B07035</t>
  </si>
  <si>
    <t>B07036</t>
  </si>
  <si>
    <t>B07037</t>
  </si>
  <si>
    <t>B07038</t>
  </si>
  <si>
    <t>B07039</t>
  </si>
  <si>
    <t>B07040</t>
  </si>
  <si>
    <t>400*500(콘크리트,뚜껑재활용)</t>
  </si>
  <si>
    <t>B07041</t>
  </si>
  <si>
    <t>500*500(콘크리트,뚜껑재활용)</t>
  </si>
  <si>
    <t>B07042</t>
  </si>
  <si>
    <t>400*1000(콘크리트,뚜껑재활용)</t>
  </si>
  <si>
    <t>B07043</t>
  </si>
  <si>
    <t>500*1000(콘크리트,뚜껑재활용)</t>
  </si>
  <si>
    <t>B07044</t>
  </si>
  <si>
    <t>400*500(아스팔트,뚜껑재활용)</t>
  </si>
  <si>
    <t>B07045</t>
  </si>
  <si>
    <t>500*500(아스팔트,뚜껑재활용)</t>
  </si>
  <si>
    <t>B07046</t>
  </si>
  <si>
    <t>400*1000(아스팔트,뚜껑재활용)</t>
  </si>
  <si>
    <t>B07047</t>
  </si>
  <si>
    <t>500*1000(아스팔트,뚜껑재활용)</t>
  </si>
  <si>
    <t>D300mm(보도블럭)</t>
  </si>
  <si>
    <t>D300mm(콘크리트)</t>
  </si>
  <si>
    <t>D300mm(아스콘)</t>
  </si>
  <si>
    <t>D250mm(보도블럭)</t>
  </si>
  <si>
    <t>D250mm(콘크리트)</t>
  </si>
  <si>
    <t>D250mm(아스콘)</t>
  </si>
  <si>
    <t>B07083</t>
  </si>
  <si>
    <t>B07084</t>
  </si>
  <si>
    <t>B07085</t>
  </si>
  <si>
    <t>B07086</t>
  </si>
  <si>
    <t>B07087</t>
  </si>
  <si>
    <t>B07088</t>
  </si>
  <si>
    <t>개소</t>
  </si>
  <si>
    <t>B07103</t>
  </si>
  <si>
    <t>모르타르</t>
  </si>
  <si>
    <t>B07104</t>
  </si>
  <si>
    <t>폴리머콘크리트</t>
  </si>
  <si>
    <t>B07113</t>
  </si>
  <si>
    <t>B07114</t>
  </si>
  <si>
    <t>일위대가 수량,금액 집계표</t>
  </si>
  <si>
    <t>STmate</t>
  </si>
  <si>
    <t>D04413</t>
  </si>
  <si>
    <t>보조기층포설</t>
  </si>
  <si>
    <t>(인력식 소규모 장비사용)</t>
  </si>
  <si>
    <t>D04414</t>
  </si>
  <si>
    <t>보도블록포장</t>
  </si>
  <si>
    <t>D04415</t>
  </si>
  <si>
    <t>보도블록걷기</t>
  </si>
  <si>
    <t>D04416</t>
  </si>
  <si>
    <t>되메우기(BH0.2+인력)</t>
  </si>
  <si>
    <t>기계80%+인력20%</t>
  </si>
  <si>
    <t>D04417</t>
  </si>
  <si>
    <t>콘크리트포장절단</t>
  </si>
  <si>
    <t>1회</t>
  </si>
  <si>
    <t>D04418</t>
  </si>
  <si>
    <t>폐기물상차</t>
  </si>
  <si>
    <t>BH 0.2</t>
  </si>
  <si>
    <t>D04419</t>
  </si>
  <si>
    <t>모래부설</t>
  </si>
  <si>
    <t>기계(0.2)20+인력80</t>
  </si>
  <si>
    <t>D04420</t>
  </si>
  <si>
    <t>콘크리트깨기(무근)</t>
  </si>
  <si>
    <t>두께30CM미만 0.7조합</t>
  </si>
  <si>
    <t>D04421</t>
  </si>
  <si>
    <t>아스팔트포장절단</t>
  </si>
  <si>
    <t>D04422</t>
  </si>
  <si>
    <t>터파기(BH0.2+인력)</t>
  </si>
  <si>
    <t>D04423</t>
  </si>
  <si>
    <t>아스팔트포장 깨기</t>
  </si>
  <si>
    <t>브레이커+굴삭기(0.7)</t>
  </si>
  <si>
    <t>D04424</t>
  </si>
  <si>
    <t>차선도색(문자,기호)</t>
  </si>
  <si>
    <t>융착식 도료 수동식</t>
  </si>
  <si>
    <t>D04425</t>
  </si>
  <si>
    <t>차선도색(실선)</t>
  </si>
  <si>
    <t>D04427</t>
  </si>
  <si>
    <t>중량 구조물 설치</t>
  </si>
  <si>
    <t>850~1150㎏ 기준</t>
  </si>
  <si>
    <t>D04428</t>
  </si>
  <si>
    <t>소파보수</t>
  </si>
  <si>
    <t>D04429</t>
  </si>
  <si>
    <t>맨홀 설치</t>
  </si>
  <si>
    <t>D900(기성)</t>
  </si>
  <si>
    <t>D04430</t>
  </si>
  <si>
    <t>D1200(기성,상판,하부구체)</t>
  </si>
  <si>
    <t>D04431</t>
  </si>
  <si>
    <t>콘크리트깨기(철근)</t>
  </si>
  <si>
    <t>(BH0.7+브레이카)</t>
  </si>
  <si>
    <t>D04432</t>
  </si>
  <si>
    <t>골재운반</t>
  </si>
  <si>
    <t>쇄석 40mm</t>
  </si>
  <si>
    <t>X00019</t>
  </si>
  <si>
    <t>굴삭기(무한궤도)</t>
  </si>
  <si>
    <t>0.6㎥</t>
  </si>
  <si>
    <t>시간</t>
  </si>
  <si>
    <t>X00025</t>
  </si>
  <si>
    <t>굴삭기(타이어)</t>
  </si>
  <si>
    <t>0.18㎥</t>
  </si>
  <si>
    <t>X00026</t>
  </si>
  <si>
    <t>X00027</t>
  </si>
  <si>
    <t>0.8㎥</t>
  </si>
  <si>
    <t>X00070</t>
  </si>
  <si>
    <t>덤프트럭</t>
  </si>
  <si>
    <t>2.5톤</t>
  </si>
  <si>
    <t>X00071</t>
  </si>
  <si>
    <t>4.5톤</t>
  </si>
  <si>
    <t>X00093</t>
  </si>
  <si>
    <t>진동롤러(핸드가이드식)</t>
  </si>
  <si>
    <t>0.7톤</t>
  </si>
  <si>
    <t>X00143</t>
  </si>
  <si>
    <t>플레이트콤펙터</t>
  </si>
  <si>
    <t>1.5톤</t>
  </si>
  <si>
    <t>X00144</t>
  </si>
  <si>
    <t>크레인(무한궤도)</t>
  </si>
  <si>
    <t>10톤(0.29㎥)</t>
  </si>
  <si>
    <t>X00180</t>
  </si>
  <si>
    <t>트럭탑재형크레인</t>
  </si>
  <si>
    <t>10톤</t>
  </si>
  <si>
    <t>X00286</t>
  </si>
  <si>
    <t>콘크리트믹서</t>
  </si>
  <si>
    <t>0.20㎥</t>
  </si>
  <si>
    <t>X00292</t>
  </si>
  <si>
    <t>커터(콘크리트 및 아스팔트용)</t>
  </si>
  <si>
    <t>320-440mm</t>
  </si>
  <si>
    <t>X00381</t>
  </si>
  <si>
    <t>공기압축기(이동식)</t>
  </si>
  <si>
    <t>3.5㎥/min</t>
  </si>
  <si>
    <t>X00387</t>
  </si>
  <si>
    <t>X00459</t>
  </si>
  <si>
    <t>물탱크(살수차)</t>
  </si>
  <si>
    <t>5500ℓ</t>
  </si>
  <si>
    <t>X01441</t>
  </si>
  <si>
    <t>0.2㎥</t>
  </si>
  <si>
    <t>X02150</t>
  </si>
  <si>
    <t>X02196</t>
  </si>
  <si>
    <t>15톤</t>
  </si>
  <si>
    <t>X03280</t>
  </si>
  <si>
    <t>X04837</t>
  </si>
  <si>
    <t>대형브레이커+굴삭기조합</t>
  </si>
  <si>
    <t>0.7㎥</t>
  </si>
  <si>
    <t>재료비 수량,금액 집계표</t>
  </si>
  <si>
    <t>단   가</t>
  </si>
  <si>
    <t>M00001</t>
  </si>
  <si>
    <t>휘발유</t>
  </si>
  <si>
    <t>무연</t>
  </si>
  <si>
    <t>L</t>
  </si>
  <si>
    <t>M00002</t>
  </si>
  <si>
    <t>경유</t>
  </si>
  <si>
    <t>저유황</t>
  </si>
  <si>
    <t>M00093</t>
  </si>
  <si>
    <t>모래(계양구)</t>
  </si>
  <si>
    <t>세척사(운반비)</t>
  </si>
  <si>
    <t>M00094</t>
  </si>
  <si>
    <t>골재(계양구)</t>
  </si>
  <si>
    <t>쇄석(25m/m, 운반비 포함)</t>
  </si>
  <si>
    <t>M00159</t>
  </si>
  <si>
    <t>물값</t>
  </si>
  <si>
    <t>(물이용부담금포함)</t>
  </si>
  <si>
    <t>TON</t>
  </si>
  <si>
    <t>M01826</t>
  </si>
  <si>
    <t>플라이애쉬</t>
  </si>
  <si>
    <t>Kg</t>
  </si>
  <si>
    <t>M04351</t>
  </si>
  <si>
    <t>흄관 (소켓식)</t>
  </si>
  <si>
    <t>D300</t>
  </si>
  <si>
    <t>M06507</t>
  </si>
  <si>
    <t>보조기층재(계양구)</t>
  </si>
  <si>
    <t>순환골재</t>
  </si>
  <si>
    <t>M06509</t>
  </si>
  <si>
    <t>PE이중벽관</t>
  </si>
  <si>
    <t>D250</t>
  </si>
  <si>
    <t>M06513</t>
  </si>
  <si>
    <t>M06596</t>
  </si>
  <si>
    <t>블레이드(DM)</t>
  </si>
  <si>
    <t>14"x3mm</t>
  </si>
  <si>
    <t>개</t>
  </si>
  <si>
    <t>M06597</t>
  </si>
  <si>
    <t>맨홀(원형,하부구체)</t>
  </si>
  <si>
    <t>900*1000*200</t>
  </si>
  <si>
    <t>M06598</t>
  </si>
  <si>
    <t>높이조절재</t>
  </si>
  <si>
    <t>5T</t>
  </si>
  <si>
    <t>매</t>
  </si>
  <si>
    <t>M06599</t>
  </si>
  <si>
    <t>치즐(대형브레이커)</t>
  </si>
  <si>
    <t>0.7 M3</t>
  </si>
  <si>
    <t>본</t>
  </si>
  <si>
    <t>M06600</t>
  </si>
  <si>
    <t>합판</t>
  </si>
  <si>
    <t>M06601</t>
  </si>
  <si>
    <t>맨홀뚜껑</t>
  </si>
  <si>
    <t>D648(우오수용) 뚜껑및받침틀</t>
  </si>
  <si>
    <t>조</t>
  </si>
  <si>
    <t>M06602</t>
  </si>
  <si>
    <t>프로판가스</t>
  </si>
  <si>
    <t>일반용</t>
  </si>
  <si>
    <t>KG</t>
  </si>
  <si>
    <t>M06603</t>
  </si>
  <si>
    <t>각재(외송)</t>
  </si>
  <si>
    <t>30*30*3600</t>
  </si>
  <si>
    <t>M06604</t>
  </si>
  <si>
    <t>맨홀상판(사각)</t>
  </si>
  <si>
    <t>1240*1240</t>
  </si>
  <si>
    <t>M06605</t>
  </si>
  <si>
    <t>T=6 Cm(무색)</t>
  </si>
  <si>
    <t>M06606</t>
  </si>
  <si>
    <t>경계석(인조화강석)</t>
  </si>
  <si>
    <t>M06607</t>
  </si>
  <si>
    <t>집수받이뚜껑(닥타일주철)</t>
  </si>
  <si>
    <t>400*500*50</t>
  </si>
  <si>
    <t>M06608</t>
  </si>
  <si>
    <t>500*500*50</t>
  </si>
  <si>
    <t>M06610</t>
  </si>
  <si>
    <t>흄관</t>
  </si>
  <si>
    <t>M06611</t>
  </si>
  <si>
    <t>D450</t>
  </si>
  <si>
    <t>M06612</t>
  </si>
  <si>
    <t>D600</t>
  </si>
  <si>
    <t>M06613</t>
  </si>
  <si>
    <t>D800</t>
  </si>
  <si>
    <t>M06614</t>
  </si>
  <si>
    <t>M06615</t>
  </si>
  <si>
    <t>M06616</t>
  </si>
  <si>
    <t>PE밴드</t>
  </si>
  <si>
    <t>M06617</t>
  </si>
  <si>
    <t>M06618</t>
  </si>
  <si>
    <t>아스콘(사급)</t>
  </si>
  <si>
    <t>#78, 표층용</t>
  </si>
  <si>
    <t>M06619</t>
  </si>
  <si>
    <t>시멘트</t>
  </si>
  <si>
    <t>보통,40㎏</t>
  </si>
  <si>
    <t>포</t>
  </si>
  <si>
    <t>M06620</t>
  </si>
  <si>
    <t>M06621</t>
  </si>
  <si>
    <t>도로표지용유리알</t>
  </si>
  <si>
    <t>KSL2521 (고성능 고휘도)</t>
  </si>
  <si>
    <t>M06622</t>
  </si>
  <si>
    <t>도로표지용도료</t>
  </si>
  <si>
    <t>4종융착식 흰색 내마모도 R5</t>
  </si>
  <si>
    <t>M06623</t>
  </si>
  <si>
    <t>4종융착식 노락색 내마모도 R3</t>
  </si>
  <si>
    <t>M06624</t>
  </si>
  <si>
    <t>맨홀(원형,상부구체)</t>
  </si>
  <si>
    <t>900*400*200</t>
  </si>
  <si>
    <t>M06625</t>
  </si>
  <si>
    <t>칼라보도맨홀뚜껑</t>
  </si>
  <si>
    <t>D648(800*800*60)</t>
  </si>
  <si>
    <t>M06626</t>
  </si>
  <si>
    <t>1200*1200*200</t>
  </si>
  <si>
    <t>M06627</t>
  </si>
  <si>
    <t>1200*400*200</t>
  </si>
  <si>
    <t>M06628</t>
  </si>
  <si>
    <t>시너</t>
  </si>
  <si>
    <t>M06629</t>
  </si>
  <si>
    <t>수지</t>
  </si>
  <si>
    <t>L00002</t>
  </si>
  <si>
    <t>인</t>
  </si>
  <si>
    <t>01000000075</t>
  </si>
  <si>
    <t>L00003</t>
  </si>
  <si>
    <t>특별인부</t>
  </si>
  <si>
    <t>01000000074</t>
  </si>
  <si>
    <t>L00007</t>
  </si>
  <si>
    <t>형틀목공</t>
  </si>
  <si>
    <t>01000000003</t>
  </si>
  <si>
    <t>L00013</t>
  </si>
  <si>
    <t>콘크리트공</t>
  </si>
  <si>
    <t>01000000023</t>
  </si>
  <si>
    <t>L00019</t>
  </si>
  <si>
    <t>포장공</t>
  </si>
  <si>
    <t>01000000038</t>
  </si>
  <si>
    <t>L00040</t>
  </si>
  <si>
    <t>배관공(수도)</t>
  </si>
  <si>
    <t>01000000026</t>
  </si>
  <si>
    <t>L00048</t>
  </si>
  <si>
    <t>건설기계운전사</t>
  </si>
  <si>
    <t>L00049</t>
  </si>
  <si>
    <t>화물차운전사</t>
  </si>
  <si>
    <t>L00050</t>
  </si>
  <si>
    <t>일반기계운전사</t>
  </si>
  <si>
    <t>1. 환  율</t>
  </si>
  <si>
    <t>100,000$ 미만</t>
  </si>
  <si>
    <t>100,000$ 이상</t>
  </si>
  <si>
    <t>유로화(€)</t>
  </si>
  <si>
    <t>엔화(100￥)</t>
  </si>
  <si>
    <t>2. 인 건 비</t>
  </si>
  <si>
    <t>*  1/8 * 16/12 * 25/20  =</t>
  </si>
  <si>
    <t>3. 단가 및 재료비</t>
  </si>
  <si>
    <t>NO</t>
  </si>
  <si>
    <t>단 가 명</t>
  </si>
  <si>
    <t>규    격</t>
  </si>
  <si>
    <t>가  격</t>
  </si>
  <si>
    <t>1</t>
  </si>
  <si>
    <t>2</t>
  </si>
  <si>
    <t>3</t>
  </si>
  <si>
    <t>4</t>
  </si>
  <si>
    <t>5</t>
  </si>
  <si>
    <t>가격 정보</t>
  </si>
  <si>
    <t>페이지</t>
  </si>
  <si>
    <t>물가 자료</t>
  </si>
  <si>
    <t>물가 정보</t>
  </si>
  <si>
    <t>거래 가격</t>
  </si>
  <si>
    <t>유통 물가</t>
  </si>
  <si>
    <t>적용 단가</t>
  </si>
  <si>
    <t>가.정</t>
  </si>
  <si>
    <t>물.자</t>
  </si>
  <si>
    <t>물.정</t>
  </si>
  <si>
    <t>거.가</t>
  </si>
  <si>
    <t>유.물</t>
  </si>
  <si>
    <t>설 계 내 역 서</t>
  </si>
  <si>
    <t>공   종</t>
  </si>
  <si>
    <t>수   량</t>
  </si>
  <si>
    <t>금    액</t>
  </si>
  <si>
    <t>총 괄 내 역 서</t>
  </si>
  <si>
    <t>E10_1</t>
  </si>
  <si>
    <t xml:space="preserve">       □</t>
  </si>
  <si>
    <t>순공사비</t>
  </si>
  <si>
    <t>CMT_1</t>
  </si>
  <si>
    <t>E2_1</t>
  </si>
  <si>
    <t>_x0007_`COD|_x0005_`QTY1|1_x0005_`EXI|1_x0005_`</t>
  </si>
  <si>
    <t>B07040_1</t>
  </si>
  <si>
    <t>_x0007_`COD|B07040_x0005_`QTY1|1_x0005_`EXI|0_x0005_`IPR|0_x0005_`BLA|F_x0005_`</t>
  </si>
  <si>
    <t>B07042_1</t>
  </si>
  <si>
    <t>_x0007_`COD|B07042_x0005_`QTY1|1_x0005_`EXI|0_x0005_`IPR|0_x0005_`BLA|F_x0005_`</t>
  </si>
  <si>
    <t>B07083_1</t>
  </si>
  <si>
    <t>_x0007_`COD|B07083_x0005_`QTY1|1_x0005_`EXI|0_x0005_`IPR|0_x0005_`BLA|F_x0005_`</t>
  </si>
  <si>
    <t>B07084_1</t>
  </si>
  <si>
    <t>_x0007_`COD|B07084_x0005_`QTY1|1_x0005_`EXI|0_x0005_`IPR|0_x0005_`BLA|F_x0005_`</t>
  </si>
  <si>
    <t>B07085_1</t>
  </si>
  <si>
    <t>_x0007_`COD|B07085_x0005_`QTY1|1_x0005_`EXI|0_x0005_`IPR|0_x0005_`BLA|F_x0005_`</t>
  </si>
  <si>
    <t>B07086_1</t>
  </si>
  <si>
    <t>_x0007_`COD|B07086_x0005_`QTY1|1_x0005_`EXI|0_x0005_`IPR|0_x0005_`BLA|F_x0005_`</t>
  </si>
  <si>
    <t>B07087_1</t>
  </si>
  <si>
    <t>_x0007_`COD|B07087_x0005_`QTY1|1_x0005_`EXI|0_x0005_`IPR|0_x0005_`BLA|F_x0005_`</t>
  </si>
  <si>
    <t>B07088_1</t>
  </si>
  <si>
    <t>_x0007_`COD|B07088_x0005_`QTY1|1_x0005_`EXI|0_x0005_`IPR|0_x0005_`BLA|F_x0005_`</t>
  </si>
  <si>
    <t>B07011_1</t>
  </si>
  <si>
    <t>_x0007_`COD|B07011_x0005_`QTY1|1_x0005_`EXI|0_x0005_`IPR|0_x0005_`BLA|F_x0005_`</t>
  </si>
  <si>
    <t>_x0007_`JTYP|0_x0005_`ACTL|F_x0005_`</t>
  </si>
  <si>
    <t xml:space="preserve">    가.</t>
  </si>
  <si>
    <t>순공사비계</t>
  </si>
  <si>
    <t xml:space="preserve"> 1. 간접노무비</t>
  </si>
  <si>
    <t>_x0007_`DTP|201_x0005_`QTY1|1_x0005_`BDC|_x0005_`SRE|LA_x0005_`</t>
  </si>
  <si>
    <t xml:space="preserve"> 2. 산재보험료</t>
  </si>
  <si>
    <t>_x0007_`DTP|301_x0005_`QTY1|1_x0005_`BDC|_x0005_`SRE|SA_x0005_`</t>
  </si>
  <si>
    <t xml:space="preserve"> 3. 고용보험료</t>
  </si>
  <si>
    <t>_x0007_`DTP|302_x0005_`QTY1|1_x0005_`BDC|_x0005_`SRE|SA_x0005_`</t>
  </si>
  <si>
    <t xml:space="preserve"> 4. 건강보험료</t>
  </si>
  <si>
    <t>_x0007_`DTP|303_x0005_`QTY1|1_x0005_`BDC|_x0005_`SRE|SA_x0005_`</t>
  </si>
  <si>
    <t xml:space="preserve"> 5. 연금보험료</t>
  </si>
  <si>
    <t>_x0007_`DTP|304_x0005_`QTY1|1_x0005_`BDC|_x0005_`SRE|SA_x0005_`</t>
  </si>
  <si>
    <t xml:space="preserve"> 6. 노인장기요양보험료</t>
  </si>
  <si>
    <t>_x0007_`DTP|310_x0005_`QTY1|1_x0005_`BDC|_x0005_`SRE|SA_x0005_`</t>
  </si>
  <si>
    <t>_x0007_`DTP|306_x0005_`QTY1|1_x0005_`BDC|_x0005_`SRE|SA_x0005_`ANK|1_x0005_`</t>
  </si>
  <si>
    <t>_x0007_`DTP|321_x0005_`QTY1|1_x0005_`BDC|_x0005_`SRE|SA_x0005_`</t>
  </si>
  <si>
    <t>_x0007_`DTP|309_x0005_`QTY1|1_x0005_`BDC|_x0005_`SRE|SA_x0005_`</t>
  </si>
  <si>
    <t>_x0007_`DTP|311_x0005_`QTY1|1_x0005_`BDC|_x0005_`SRE|SA_x0005_`</t>
  </si>
  <si>
    <t xml:space="preserve">    나.</t>
  </si>
  <si>
    <t xml:space="preserve">    소   계</t>
  </si>
  <si>
    <t>_x0007_`DTP|400_x0005_`QTY1|1_x0005_`BDC|_x0005_`SRE|TA-F_x0005_`</t>
  </si>
  <si>
    <t>_x0007_`DTP|401_x0005_`QTY1|1_x0005_`BDC|_x0005_`SRE|TA_x0005_`</t>
  </si>
  <si>
    <t>_x0007_`DTP|410_x0005_`QTY1|1_x0005_`BDC|_x0005_`SRE|TA-F_x0005_`</t>
  </si>
  <si>
    <t>_x0007_`DTP|402_x0005_`QTY1|1_x0005_`BDC|_x0005_`SRE|TA_x0005_`</t>
  </si>
  <si>
    <t xml:space="preserve">    공급가액</t>
  </si>
  <si>
    <t>_x0007_`DTP|500_x0005_`QTY1|1_x0005_`BDC|_x0005_`SRE|TA-F_x0005_`</t>
  </si>
  <si>
    <t>_x0007_`DTP|502_x0005_`QTY1|1_x0005_`BDC|_x0005_`SRE|TA_x0005_`</t>
  </si>
  <si>
    <t>_x0007_`DTP|600_x0005_`QTY1|1_x0005_`BDC|_x0005_`SRE|TA-F_x0005_`</t>
  </si>
  <si>
    <t>공 사 원 가 계 산 서</t>
  </si>
  <si>
    <t xml:space="preserve">    비    목</t>
  </si>
  <si>
    <t xml:space="preserve">구    분    </t>
  </si>
  <si>
    <t>구 성 비</t>
  </si>
  <si>
    <t>비    고</t>
  </si>
  <si>
    <t>직  접  재  료  비</t>
  </si>
  <si>
    <t>간  접  재  료  비</t>
  </si>
  <si>
    <t>작업설,부산물등(△)</t>
  </si>
  <si>
    <t>소              계</t>
  </si>
  <si>
    <t>직  접  노  무  비</t>
  </si>
  <si>
    <t>간  접  노  무  비</t>
  </si>
  <si>
    <t>산   출    경   비</t>
  </si>
  <si>
    <t>산  재  보  험  료</t>
  </si>
  <si>
    <t>고  용  보  험  료</t>
  </si>
  <si>
    <t>건  강  보  험  료</t>
  </si>
  <si>
    <t>연  금  보  험  료</t>
  </si>
  <si>
    <t>노인장기요양보험료</t>
  </si>
  <si>
    <t>산업안전보건관리비</t>
  </si>
  <si>
    <t>기   타    경   비</t>
  </si>
  <si>
    <t>환  경  보  전  비</t>
  </si>
  <si>
    <t>건설기계대여금지급보증 금액</t>
  </si>
  <si>
    <t>일   반   관   리   비</t>
  </si>
  <si>
    <t>이                  윤</t>
  </si>
  <si>
    <t>총        원        가</t>
  </si>
  <si>
    <t>부   가   가   치   세</t>
  </si>
  <si>
    <t>도   급   공   사   비</t>
  </si>
  <si>
    <t>총     공     사     비</t>
  </si>
  <si>
    <t>순 공 사 원 가</t>
  </si>
  <si>
    <t>경    비</t>
  </si>
  <si>
    <t>QTY</t>
  </si>
  <si>
    <t>단가산출근거 수량,금액 집계표</t>
  </si>
  <si>
    <t>노무비 수량,금액 집계표</t>
  </si>
  <si>
    <t>중기 시간,금액 집계표</t>
  </si>
  <si>
    <t>13. 중기사용료</t>
  </si>
  <si>
    <t>※※ 현재 Sheet를 수정 또는 삭제하지 마십시요[수정/삭제시 STmate 데이타로 변환할 수 없습니다] ※※</t>
  </si>
  <si>
    <t>[Sheet정보]</t>
  </si>
  <si>
    <t>목차</t>
  </si>
  <si>
    <t>Sheet</t>
  </si>
  <si>
    <t>FPos</t>
  </si>
  <si>
    <t>ITNAME</t>
  </si>
  <si>
    <t>NAME</t>
  </si>
  <si>
    <t>SIZE</t>
  </si>
  <si>
    <t>UNIT</t>
  </si>
  <si>
    <t>SPOS</t>
  </si>
  <si>
    <t>EPOS</t>
  </si>
  <si>
    <t>TAMT</t>
  </si>
  <si>
    <t>TAMOUNT</t>
  </si>
  <si>
    <t>MAMT</t>
  </si>
  <si>
    <t>MAMOUNT</t>
  </si>
  <si>
    <t>LAMT</t>
  </si>
  <si>
    <t>LAMOUNT</t>
  </si>
  <si>
    <t>SAMT</t>
  </si>
  <si>
    <t>SAMOUNT</t>
  </si>
  <si>
    <t>AAMT</t>
  </si>
  <si>
    <t>AAMOUNT</t>
  </si>
  <si>
    <t>NAMT</t>
  </si>
  <si>
    <t>NAMOUNT</t>
  </si>
  <si>
    <t>INFO</t>
  </si>
  <si>
    <t>1. 재료비목록표</t>
  </si>
  <si>
    <t>2. 노무비목록표</t>
  </si>
  <si>
    <t>3. 경비목록표</t>
  </si>
  <si>
    <t>4. 일식목록표</t>
  </si>
  <si>
    <t>5. 환율 및 기초자료</t>
  </si>
  <si>
    <t>6. 중기목록표</t>
  </si>
  <si>
    <t>7. 실적단가표</t>
  </si>
  <si>
    <t>8. 일위대가목록표</t>
  </si>
  <si>
    <t>9. 산출근거목록표</t>
  </si>
  <si>
    <t>10. 자재단가대비표</t>
  </si>
  <si>
    <t>11. 내역서</t>
  </si>
  <si>
    <t>12. 총괄내역서</t>
  </si>
  <si>
    <t>14. 일위대가표</t>
  </si>
  <si>
    <t>15. 단가산출근거</t>
  </si>
  <si>
    <t>[공사정보]</t>
  </si>
  <si>
    <t>M_VER</t>
  </si>
  <si>
    <t>9.83</t>
  </si>
  <si>
    <t>PNAME</t>
  </si>
  <si>
    <t>2020년 하수도 구조물 정비공사(1구역)</t>
  </si>
  <si>
    <t>PCLAS</t>
  </si>
  <si>
    <t>0</t>
  </si>
  <si>
    <t>SCLAS</t>
  </si>
  <si>
    <t>K_ORD</t>
  </si>
  <si>
    <t>PRIPR</t>
  </si>
  <si>
    <t>True</t>
  </si>
  <si>
    <t>ACTYP</t>
  </si>
  <si>
    <t>ACTOP</t>
  </si>
  <si>
    <t>[초기값]</t>
  </si>
  <si>
    <t>P_ORD</t>
  </si>
  <si>
    <t>EXNM_</t>
  </si>
  <si>
    <t>EXRNM</t>
  </si>
  <si>
    <t>RXNM_</t>
  </si>
  <si>
    <t>1/8 * 16/12 * 25/20</t>
  </si>
  <si>
    <t>1/8*16/12*25/20*24/15</t>
  </si>
  <si>
    <t>1/8*16/12*25/20*12/10</t>
  </si>
  <si>
    <t>COND_</t>
  </si>
  <si>
    <t>L00054L00001L00047L00048L00049L00050L00052L00053L00055L00132L00133L00134L00135L00142L00145L00254L00255L00256L00258L00259L00312L00313L00314L00315L00322L00325L00434L00435L00436L00438L00439L00551L00552L00553L00554L00555L00556L00559L00560L00561L00562L00563L00659L00739L00740L00741L00743L00744L00791L00792L00793L00795L00815L00828L00829L00830L00840L00853L00854L00855L00871L00900L00901L00902L00912L00913L00914L00927L00928L00929L00930L00937L00940L01049L01050L01051L01053L01054L01107L01108L01109L01110L01117L01120L01229L01230L01231L01233L01234L01286L01287L01288L01289L01296L01299L01408L01409L01410L01412L01413L01525L01526L01527L01528L01529L01530L01533L01534L01535L01536L01537L01633L01713L01714L01715L01717L01718L01765L01766L01767L01769L01789L01802L01803L01804L01814L01827L01828L01829L01845L01874L01875L01876L01881L01884</t>
  </si>
  <si>
    <t>KCDNM</t>
  </si>
  <si>
    <t>JCDNM</t>
  </si>
  <si>
    <t>ECDNM</t>
  </si>
  <si>
    <t>ACDNM</t>
  </si>
  <si>
    <t>BPNNM</t>
  </si>
  <si>
    <t>ZCDNM</t>
  </si>
  <si>
    <t>CHGNM</t>
  </si>
  <si>
    <t>CHBNM</t>
  </si>
  <si>
    <t>CHNNM</t>
  </si>
  <si>
    <t>CUTNM</t>
  </si>
  <si>
    <t>OPTNM</t>
  </si>
  <si>
    <t>MLS</t>
  </si>
  <si>
    <t>S_JDA</t>
  </si>
  <si>
    <t>False</t>
  </si>
  <si>
    <t>SUBNM</t>
  </si>
  <si>
    <t>인천광역시 계양구청(건설과)</t>
  </si>
  <si>
    <t>[인쇄정보]</t>
  </si>
  <si>
    <t>BMSTR</t>
  </si>
  <si>
    <t>BMKNM</t>
  </si>
  <si>
    <t>MLST</t>
  </si>
  <si>
    <t>JEMNM</t>
  </si>
  <si>
    <t>123456</t>
  </si>
  <si>
    <t>JMKN1</t>
  </si>
  <si>
    <t>JMKN2</t>
  </si>
  <si>
    <t>JMKN3</t>
  </si>
  <si>
    <t>JMKN4</t>
  </si>
  <si>
    <t>JMKN5</t>
  </si>
  <si>
    <t>JMKN6</t>
  </si>
  <si>
    <t>CAP_CODE</t>
  </si>
  <si>
    <t>CAP_NO</t>
  </si>
  <si>
    <t>호표</t>
  </si>
  <si>
    <t>CAP_IBRD</t>
  </si>
  <si>
    <t>분류번호</t>
  </si>
  <si>
    <t>CAP_EQCOD</t>
  </si>
  <si>
    <t>시설코드</t>
  </si>
  <si>
    <t>CAP_ITNUM</t>
  </si>
  <si>
    <t>CAP_NAME</t>
  </si>
  <si>
    <t>CAP_SIZE</t>
  </si>
  <si>
    <t>CAP_QTY</t>
  </si>
  <si>
    <t>CAP_SUNIT</t>
  </si>
  <si>
    <t>CAP_AMT</t>
  </si>
  <si>
    <t>CAP_PAGE</t>
  </si>
  <si>
    <t>CAP_AMOUNT</t>
  </si>
  <si>
    <t>CAP_BIGO</t>
  </si>
  <si>
    <t>[PREPARE]</t>
  </si>
  <si>
    <t>PREP_VER</t>
  </si>
  <si>
    <t>w9.83</t>
  </si>
  <si>
    <t>PREP_COP</t>
  </si>
  <si>
    <t>계양구청 건설과 #01</t>
  </si>
  <si>
    <t>PREP_DATE</t>
  </si>
  <si>
    <t>2020-02-25</t>
  </si>
  <si>
    <t>[.끝.]</t>
  </si>
  <si>
    <t>포장복구 45m2</t>
  </si>
  <si>
    <t>내수 12T*1220*2440mm</t>
    <phoneticPr fontId="12" type="noConversion"/>
  </si>
  <si>
    <t>180*200</t>
    <phoneticPr fontId="12" type="noConversion"/>
  </si>
  <si>
    <t>1.0㎥/min</t>
  </si>
  <si>
    <t>소형브레이커</t>
    <phoneticPr fontId="12" type="noConversion"/>
  </si>
  <si>
    <t>퇴 직 공 제 부 금 비</t>
    <phoneticPr fontId="12" type="noConversion"/>
  </si>
  <si>
    <t>직접노무비 x 2.3%</t>
    <phoneticPr fontId="12" type="noConversion"/>
  </si>
  <si>
    <t>공사명 : 2025년 하반기 하수도 구조물 정비공사</t>
    <phoneticPr fontId="12" type="noConversion"/>
  </si>
  <si>
    <t>나.</t>
    <phoneticPr fontId="12" type="noConversion"/>
  </si>
  <si>
    <t>가.</t>
    <phoneticPr fontId="12" type="noConversion"/>
  </si>
  <si>
    <t>1. 빗물받이 재설치</t>
    <phoneticPr fontId="12" type="noConversion"/>
  </si>
  <si>
    <t>폐기물(재활용)처리비</t>
  </si>
  <si>
    <t>폐콘크리트</t>
  </si>
  <si>
    <t>Ton</t>
  </si>
  <si>
    <t>폐아스콘</t>
  </si>
  <si>
    <t>폐기물(재활용)운반비</t>
  </si>
  <si>
    <t>폐콘크리트,폐아스콘</t>
  </si>
  <si>
    <t xml:space="preserve">    라.</t>
    <phoneticPr fontId="12" type="noConversion"/>
  </si>
  <si>
    <t xml:space="preserve">    마.</t>
    <phoneticPr fontId="12" type="noConversion"/>
  </si>
  <si>
    <t>단수정리</t>
    <phoneticPr fontId="12" type="noConversion"/>
  </si>
  <si>
    <t>1</t>
    <phoneticPr fontId="12" type="noConversion"/>
  </si>
  <si>
    <t>식</t>
    <phoneticPr fontId="12" type="noConversion"/>
  </si>
  <si>
    <t>다.</t>
    <phoneticPr fontId="12" type="noConversion"/>
  </si>
  <si>
    <t>폐기물처리비</t>
    <phoneticPr fontId="12" type="noConversion"/>
  </si>
  <si>
    <t>1. 폐기물처리비</t>
    <phoneticPr fontId="12" type="noConversion"/>
  </si>
  <si>
    <t xml:space="preserve">집수받이재설치 </t>
  </si>
  <si>
    <t xml:space="preserve">PE이중벽관교체 </t>
  </si>
  <si>
    <t>고재처리</t>
    <phoneticPr fontId="12" type="noConversion"/>
  </si>
  <si>
    <t>kg</t>
    <phoneticPr fontId="12" type="noConversion"/>
  </si>
  <si>
    <t xml:space="preserve"> 4. 산업안전보건관리비</t>
    <phoneticPr fontId="12" type="noConversion"/>
  </si>
  <si>
    <t xml:space="preserve"> 5. 기타경비</t>
    <phoneticPr fontId="12" type="noConversion"/>
  </si>
  <si>
    <t xml:space="preserve"> 6. 환경보전비</t>
    <phoneticPr fontId="12" type="noConversion"/>
  </si>
  <si>
    <t xml:space="preserve"> 7. 건설기계대여금지급보증 금액</t>
    <phoneticPr fontId="12" type="noConversion"/>
  </si>
  <si>
    <t xml:space="preserve"> 14. 부가가치세</t>
    <phoneticPr fontId="12" type="noConversion"/>
  </si>
  <si>
    <t xml:space="preserve"> 15. 도급공사비</t>
    <phoneticPr fontId="12" type="noConversion"/>
  </si>
  <si>
    <t>500*500(콘크리트,뚜껑재활용)</t>
    <phoneticPr fontId="12" type="noConversion"/>
  </si>
  <si>
    <t>500*1000(콘크리트,뚜껑재활용)</t>
    <phoneticPr fontId="12" type="noConversion"/>
  </si>
  <si>
    <t xml:space="preserve">    다.</t>
    <phoneticPr fontId="12" type="noConversion"/>
  </si>
  <si>
    <t>500*500(콘크리트,주철)</t>
    <phoneticPr fontId="12" type="noConversion"/>
  </si>
  <si>
    <t>B07033_1</t>
    <phoneticPr fontId="12" type="noConversion"/>
  </si>
  <si>
    <t>공사명: 2026년 계양구 관내 민원처리 빗물받이 정비공사</t>
    <phoneticPr fontId="12" type="noConversion"/>
  </si>
  <si>
    <t xml:space="preserve">빗물받이재설치 </t>
    <phoneticPr fontId="12" type="noConversion"/>
  </si>
  <si>
    <t xml:space="preserve"> 8. 퇴직공제부금비</t>
    <phoneticPr fontId="12" type="noConversion"/>
  </si>
  <si>
    <t xml:space="preserve"> 9. 석면분담금</t>
    <phoneticPr fontId="12" type="noConversion"/>
  </si>
  <si>
    <t xml:space="preserve"> 10. 임금채권부담금</t>
    <phoneticPr fontId="12" type="noConversion"/>
  </si>
  <si>
    <t xml:space="preserve"> 11. 일반관리비</t>
    <phoneticPr fontId="12" type="noConversion"/>
  </si>
  <si>
    <t xml:space="preserve"> 12. 이   윤</t>
    <phoneticPr fontId="12" type="noConversion"/>
  </si>
  <si>
    <t xml:space="preserve"> 13. 고재처리비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</si>
</sst>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#,###"/>
    <numFmt numFmtId="177" formatCode="#,##0.#######;\-#,##0.#######;#"/>
    <numFmt numFmtId="178" formatCode="#,##0.00\ &quot;(원/$)&quot;"/>
    <numFmt numFmtId="179" formatCode="#,##0.00\ &quot;(원/€)&quot;"/>
    <numFmt numFmtId="180" formatCode="#,##0.00\ &quot;(원/100￥)&quot;"/>
    <numFmt numFmtId="181" formatCode="#,##0.00#\ "/>
    <numFmt numFmtId="182" formatCode="#,##0;\-#,##0;#"/>
    <numFmt numFmtId="183" formatCode="#,##0.00#;\-#,##0.00#;#"/>
    <numFmt numFmtId="184" formatCode="#,##0.#######"/>
    <numFmt numFmtId="185" formatCode="#,##0.####;\-#,##0.####;#"/>
    <numFmt numFmtId="186" formatCode="#,##0.######;\-#,##0.######;#"/>
    <numFmt numFmtId="187" formatCode="0.000\ &quot;%&quot;;;#"/>
    <numFmt numFmtId="188" formatCode="#,##0.0#"/>
    <numFmt numFmtId="189" formatCode="#,###.0"/>
  </numFmts>
  <fonts count="17" x14ac:knownFonts="1">
    <font>
      <sz val="11"/>
      <color theme="1"/>
      <name val="맑은 고딕"/>
      <family val="2"/>
      <charset val="129"/>
      <scheme val="minor"/>
    </font>
    <font>
      <b/>
      <u/>
      <sz val="15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10"/>
      <color indexed="22"/>
      <name val="맑은 고딕"/>
      <family val="3"/>
      <charset val="129"/>
      <scheme val="minor"/>
    </font>
    <font>
      <sz val="9"/>
      <color indexed="12"/>
      <name val="굴림체"/>
      <family val="3"/>
      <charset val="129"/>
    </font>
    <font>
      <sz val="9"/>
      <name val="맑은 고딕"/>
      <family val="3"/>
      <charset val="129"/>
      <scheme val="minor"/>
    </font>
    <font>
      <u/>
      <sz val="9"/>
      <color indexed="22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15"/>
      <color indexed="10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u/>
      <sz val="9"/>
      <color theme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139">
    <xf numFmtId="0" fontId="0" fillId="0" borderId="0" xfId="0"/>
    <xf numFmtId="49" fontId="2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shrinkToFit="1"/>
    </xf>
    <xf numFmtId="49" fontId="2" fillId="0" borderId="0" xfId="0" applyNumberFormat="1" applyFont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49" fontId="3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shrinkToFit="1"/>
    </xf>
    <xf numFmtId="0" fontId="7" fillId="0" borderId="0" xfId="0" applyFont="1" applyAlignment="1">
      <alignment horizontal="center" vertical="center" shrinkToFit="1"/>
    </xf>
    <xf numFmtId="58" fontId="5" fillId="0" borderId="0" xfId="0" applyNumberFormat="1" applyFont="1" applyAlignment="1">
      <alignment horizontal="left" vertical="center" shrinkToFit="1"/>
    </xf>
    <xf numFmtId="177" fontId="3" fillId="0" borderId="0" xfId="0" applyNumberFormat="1" applyFont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8" xfId="0" applyBorder="1" applyAlignment="1">
      <alignment shrinkToFit="1"/>
    </xf>
    <xf numFmtId="178" fontId="2" fillId="0" borderId="7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181" fontId="2" fillId="0" borderId="6" xfId="0" applyNumberFormat="1" applyFont="1" applyBorder="1" applyAlignment="1">
      <alignment horizontal="right" vertical="center" shrinkToFit="1"/>
    </xf>
    <xf numFmtId="181" fontId="2" fillId="0" borderId="7" xfId="0" applyNumberFormat="1" applyFont="1" applyBorder="1" applyAlignment="1">
      <alignment horizontal="right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58" fontId="7" fillId="0" borderId="0" xfId="0" applyNumberFormat="1" applyFont="1" applyAlignment="1">
      <alignment horizontal="center" vertical="center" shrinkToFit="1"/>
    </xf>
    <xf numFmtId="183" fontId="2" fillId="0" borderId="2" xfId="0" applyNumberFormat="1" applyFont="1" applyBorder="1" applyAlignment="1">
      <alignment horizontal="right" vertical="center" shrinkToFit="1"/>
    </xf>
    <xf numFmtId="58" fontId="3" fillId="0" borderId="0" xfId="0" applyNumberFormat="1" applyFont="1" applyAlignment="1">
      <alignment horizontal="left" vertical="center" shrinkToFit="1"/>
    </xf>
    <xf numFmtId="176" fontId="2" fillId="0" borderId="0" xfId="0" applyNumberFormat="1" applyFont="1" applyAlignment="1">
      <alignment horizontal="right" vertical="center" shrinkToFit="1"/>
    </xf>
    <xf numFmtId="49" fontId="9" fillId="0" borderId="2" xfId="0" applyNumberFormat="1" applyFont="1" applyBorder="1" applyAlignment="1">
      <alignment horizontal="left" vertical="center" shrinkToFit="1"/>
    </xf>
    <xf numFmtId="49" fontId="9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6" xfId="0" applyNumberFormat="1" applyFont="1" applyBorder="1" applyAlignment="1">
      <alignment horizontal="right" vertical="center" shrinkToFit="1"/>
    </xf>
    <xf numFmtId="185" fontId="2" fillId="0" borderId="6" xfId="0" applyNumberFormat="1" applyFont="1" applyBorder="1" applyAlignment="1">
      <alignment horizontal="right" vertical="center" shrinkToFit="1"/>
    </xf>
    <xf numFmtId="0" fontId="0" fillId="0" borderId="3" xfId="0" applyBorder="1" applyAlignment="1">
      <alignment shrinkToFit="1"/>
    </xf>
    <xf numFmtId="186" fontId="2" fillId="0" borderId="3" xfId="0" applyNumberFormat="1" applyFont="1" applyBorder="1" applyAlignment="1">
      <alignment horizontal="right" vertical="center" shrinkToFit="1"/>
    </xf>
    <xf numFmtId="182" fontId="2" fillId="0" borderId="2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82" fontId="2" fillId="0" borderId="0" xfId="0" applyNumberFormat="1" applyFont="1" applyAlignment="1">
      <alignment horizontal="right" vertical="center" shrinkToFit="1"/>
    </xf>
    <xf numFmtId="186" fontId="2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shrinkToFit="1"/>
    </xf>
    <xf numFmtId="0" fontId="0" fillId="0" borderId="6" xfId="0" applyBorder="1" applyAlignment="1">
      <alignment shrinkToFit="1"/>
    </xf>
    <xf numFmtId="182" fontId="2" fillId="0" borderId="3" xfId="0" applyNumberFormat="1" applyFont="1" applyBorder="1" applyAlignment="1">
      <alignment horizontal="right" vertical="center" shrinkToFit="1"/>
    </xf>
    <xf numFmtId="182" fontId="2" fillId="2" borderId="0" xfId="0" applyNumberFormat="1" applyFont="1" applyFill="1" applyAlignment="1">
      <alignment horizontal="right" vertical="center" shrinkToFit="1"/>
    </xf>
    <xf numFmtId="176" fontId="2" fillId="2" borderId="0" xfId="0" applyNumberFormat="1" applyFont="1" applyFill="1" applyAlignment="1">
      <alignment horizontal="right" vertical="center" shrinkToFit="1"/>
    </xf>
    <xf numFmtId="184" fontId="2" fillId="2" borderId="0" xfId="0" applyNumberFormat="1" applyFont="1" applyFill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shrinkToFit="1"/>
    </xf>
    <xf numFmtId="182" fontId="2" fillId="0" borderId="10" xfId="0" applyNumberFormat="1" applyFont="1" applyBorder="1" applyAlignment="1">
      <alignment horizontal="right" vertical="center" shrinkToFit="1"/>
    </xf>
    <xf numFmtId="176" fontId="2" fillId="0" borderId="10" xfId="0" applyNumberFormat="1" applyFont="1" applyBorder="1" applyAlignment="1">
      <alignment horizontal="right" vertical="center" shrinkToFit="1"/>
    </xf>
    <xf numFmtId="182" fontId="2" fillId="0" borderId="4" xfId="0" applyNumberFormat="1" applyFont="1" applyBorder="1" applyAlignment="1">
      <alignment horizontal="right" vertical="center" shrinkToFit="1"/>
    </xf>
    <xf numFmtId="187" fontId="2" fillId="0" borderId="10" xfId="0" applyNumberFormat="1" applyFont="1" applyBorder="1" applyAlignment="1">
      <alignment horizontal="right" vertical="center" shrinkToFit="1"/>
    </xf>
    <xf numFmtId="187" fontId="2" fillId="0" borderId="4" xfId="0" applyNumberFormat="1" applyFont="1" applyBorder="1" applyAlignment="1">
      <alignment horizontal="right" vertical="center" shrinkToFit="1"/>
    </xf>
    <xf numFmtId="187" fontId="2" fillId="0" borderId="6" xfId="0" applyNumberFormat="1" applyFont="1" applyBorder="1" applyAlignment="1">
      <alignment horizontal="right" vertical="center" shrinkToFit="1"/>
    </xf>
    <xf numFmtId="49" fontId="2" fillId="0" borderId="0" xfId="0" applyNumberFormat="1" applyFont="1" applyAlignment="1">
      <alignment horizontal="right" vertical="center" shrinkToFit="1"/>
    </xf>
    <xf numFmtId="49" fontId="2" fillId="0" borderId="10" xfId="0" applyNumberFormat="1" applyFont="1" applyBorder="1" applyAlignment="1">
      <alignment horizontal="left" vertical="center" shrinkToFit="1"/>
    </xf>
    <xf numFmtId="0" fontId="0" fillId="0" borderId="10" xfId="0" applyBorder="1" applyAlignment="1">
      <alignment shrinkToFit="1"/>
    </xf>
    <xf numFmtId="49" fontId="2" fillId="0" borderId="4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left" vertical="center" shrinkToFit="1"/>
    </xf>
    <xf numFmtId="177" fontId="2" fillId="0" borderId="3" xfId="0" applyNumberFormat="1" applyFont="1" applyBorder="1" applyAlignment="1">
      <alignment horizontal="left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188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 applyProtection="1">
      <alignment shrinkToFit="1"/>
      <protection hidden="1"/>
    </xf>
    <xf numFmtId="49" fontId="2" fillId="3" borderId="0" xfId="0" applyNumberFormat="1" applyFont="1" applyFill="1" applyAlignment="1" applyProtection="1">
      <alignment horizontal="left" vertical="center" shrinkToFit="1"/>
      <protection hidden="1"/>
    </xf>
    <xf numFmtId="49" fontId="2" fillId="0" borderId="0" xfId="0" applyNumberFormat="1" applyFont="1" applyAlignment="1" applyProtection="1">
      <alignment horizontal="center" vertical="center" shrinkToFit="1"/>
      <protection hidden="1"/>
    </xf>
    <xf numFmtId="49" fontId="2" fillId="0" borderId="0" xfId="0" applyNumberFormat="1" applyFont="1" applyAlignment="1" applyProtection="1">
      <alignment horizontal="left" vertical="center" shrinkToFit="1"/>
      <protection hidden="1"/>
    </xf>
    <xf numFmtId="58" fontId="2" fillId="0" borderId="0" xfId="0" applyNumberFormat="1" applyFont="1" applyAlignment="1" applyProtection="1">
      <alignment horizontal="center" vertical="center" shrinkToFit="1"/>
      <protection hidden="1"/>
    </xf>
    <xf numFmtId="58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left" vertical="center" shrinkToFit="1"/>
      <protection hidden="1"/>
    </xf>
    <xf numFmtId="177" fontId="2" fillId="0" borderId="0" xfId="0" applyNumberFormat="1" applyFont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shrinkToFit="1"/>
      <protection hidden="1"/>
    </xf>
    <xf numFmtId="1" fontId="2" fillId="0" borderId="0" xfId="0" applyNumberFormat="1" applyFont="1" applyAlignment="1" applyProtection="1">
      <alignment horizontal="left" vertical="center" shrinkToFit="1"/>
      <protection hidden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3" fontId="2" fillId="0" borderId="4" xfId="2" applyNumberFormat="1" applyFont="1" applyBorder="1" applyAlignment="1">
      <alignment horizontal="left" vertical="center"/>
    </xf>
    <xf numFmtId="182" fontId="2" fillId="0" borderId="10" xfId="0" applyNumberFormat="1" applyFont="1" applyBorder="1" applyAlignment="1">
      <alignment horizontal="right" vertical="center" shrinkToFit="1"/>
    </xf>
    <xf numFmtId="189" fontId="2" fillId="2" borderId="0" xfId="0" applyNumberFormat="1" applyFont="1" applyFill="1" applyAlignment="1">
      <alignment horizontal="righ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9" fillId="0" borderId="6" xfId="0" applyNumberFormat="1" applyFont="1" applyBorder="1" applyAlignment="1">
      <alignment horizontal="right" vertical="center" shrinkToFit="1"/>
    </xf>
    <xf numFmtId="176" fontId="9" fillId="0" borderId="2" xfId="0" applyNumberFormat="1" applyFont="1" applyBorder="1" applyAlignment="1">
      <alignment horizontal="right" vertical="center" shrinkToFit="1"/>
    </xf>
    <xf numFmtId="182" fontId="9" fillId="0" borderId="2" xfId="0" applyNumberFormat="1" applyFont="1" applyBorder="1" applyAlignment="1">
      <alignment horizontal="right" vertical="center" shrinkToFit="1"/>
    </xf>
    <xf numFmtId="176" fontId="9" fillId="0" borderId="3" xfId="0" applyNumberFormat="1" applyFont="1" applyBorder="1" applyAlignment="1">
      <alignment horizontal="right" vertical="center" shrinkToFit="1"/>
    </xf>
    <xf numFmtId="182" fontId="9" fillId="0" borderId="6" xfId="0" applyNumberFormat="1" applyFont="1" applyBorder="1" applyAlignment="1">
      <alignment horizontal="right" vertical="center" shrinkToFit="1"/>
    </xf>
    <xf numFmtId="182" fontId="11" fillId="0" borderId="6" xfId="0" applyNumberFormat="1" applyFont="1" applyBorder="1" applyAlignment="1">
      <alignment vertical="center" shrinkToFit="1"/>
    </xf>
    <xf numFmtId="41" fontId="2" fillId="0" borderId="3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82" fontId="2" fillId="0" borderId="3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82" fontId="2" fillId="0" borderId="3" xfId="0" applyNumberFormat="1" applyFont="1" applyBorder="1" applyAlignment="1">
      <alignment horizontal="right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58" fontId="16" fillId="0" borderId="0" xfId="1" applyNumberFormat="1" applyFont="1" applyAlignment="1" applyProtection="1">
      <alignment horizontal="left" vertical="center" shrinkToFit="1"/>
    </xf>
    <xf numFmtId="49" fontId="2" fillId="0" borderId="3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82" fontId="2" fillId="0" borderId="3" xfId="0" applyNumberFormat="1" applyFon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/>
    <xf numFmtId="49" fontId="2" fillId="0" borderId="9" xfId="0" applyNumberFormat="1" applyFont="1" applyBorder="1" applyAlignment="1">
      <alignment horizontal="right" vertical="center" shrinkToFit="1"/>
    </xf>
    <xf numFmtId="0" fontId="0" fillId="0" borderId="9" xfId="0" applyBorder="1"/>
    <xf numFmtId="49" fontId="2" fillId="0" borderId="4" xfId="0" applyNumberFormat="1" applyFont="1" applyBorder="1" applyAlignment="1">
      <alignment horizontal="center" vertical="center" shrinkToFit="1"/>
    </xf>
    <xf numFmtId="0" fontId="0" fillId="0" borderId="4" xfId="0" applyBorder="1"/>
    <xf numFmtId="49" fontId="2" fillId="0" borderId="3" xfId="0" applyNumberFormat="1" applyFont="1" applyBorder="1" applyAlignment="1">
      <alignment horizontal="left" vertical="center" shrinkToFit="1"/>
    </xf>
    <xf numFmtId="0" fontId="0" fillId="0" borderId="3" xfId="0" applyBorder="1"/>
    <xf numFmtId="49" fontId="9" fillId="0" borderId="2" xfId="0" applyNumberFormat="1" applyFont="1" applyBorder="1" applyAlignment="1">
      <alignment horizontal="center" vertical="center" shrinkToFit="1"/>
    </xf>
    <xf numFmtId="0" fontId="0" fillId="0" borderId="6" xfId="0" applyBorder="1"/>
    <xf numFmtId="49" fontId="2" fillId="0" borderId="2" xfId="0" applyNumberFormat="1" applyFont="1" applyBorder="1" applyAlignment="1">
      <alignment horizontal="center" vertical="center" shrinkToFit="1"/>
    </xf>
    <xf numFmtId="49" fontId="2" fillId="0" borderId="10" xfId="0" applyNumberFormat="1" applyFont="1" applyBorder="1" applyAlignment="1">
      <alignment horizontal="center" vertical="center" textRotation="255" shrinkToFit="1"/>
    </xf>
    <xf numFmtId="0" fontId="0" fillId="0" borderId="10" xfId="0" applyBorder="1"/>
    <xf numFmtId="49" fontId="2" fillId="0" borderId="3" xfId="0" applyNumberFormat="1" applyFont="1" applyBorder="1" applyAlignment="1">
      <alignment horizontal="center" vertical="center" shrinkToFit="1"/>
    </xf>
    <xf numFmtId="0" fontId="0" fillId="0" borderId="1" xfId="0" applyBorder="1"/>
    <xf numFmtId="177" fontId="2" fillId="0" borderId="2" xfId="0" applyNumberFormat="1" applyFont="1" applyBorder="1" applyAlignment="1">
      <alignment horizontal="left" vertical="center" shrinkToFit="1"/>
    </xf>
    <xf numFmtId="49" fontId="2" fillId="0" borderId="2" xfId="0" applyNumberFormat="1" applyFont="1" applyBorder="1" applyAlignment="1">
      <alignment horizontal="left" vertical="center" shrinkToFit="1"/>
    </xf>
    <xf numFmtId="177" fontId="2" fillId="0" borderId="1" xfId="0" applyNumberFormat="1" applyFont="1" applyBorder="1" applyAlignment="1">
      <alignment horizontal="left" vertical="center" shrinkToFit="1"/>
    </xf>
    <xf numFmtId="177" fontId="2" fillId="0" borderId="7" xfId="0" applyNumberFormat="1" applyFont="1" applyBorder="1" applyAlignment="1">
      <alignment horizontal="left" vertical="center" shrinkToFit="1"/>
    </xf>
    <xf numFmtId="177" fontId="2" fillId="0" borderId="11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left" vertical="center" shrinkToFit="1"/>
    </xf>
    <xf numFmtId="49" fontId="2" fillId="0" borderId="7" xfId="0" applyNumberFormat="1" applyFont="1" applyBorder="1" applyAlignment="1">
      <alignment horizontal="left" vertical="center" shrinkToFit="1"/>
    </xf>
    <xf numFmtId="49" fontId="2" fillId="0" borderId="11" xfId="0" applyNumberFormat="1" applyFont="1" applyBorder="1" applyAlignment="1">
      <alignment horizontal="left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6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0" fillId="0" borderId="7" xfId="0" applyBorder="1"/>
    <xf numFmtId="49" fontId="8" fillId="0" borderId="0" xfId="0" applyNumberFormat="1" applyFont="1" applyAlignment="1">
      <alignment horizontal="left" vertical="center" shrinkToFit="1"/>
    </xf>
    <xf numFmtId="179" fontId="2" fillId="0" borderId="7" xfId="0" applyNumberFormat="1" applyFont="1" applyBorder="1" applyAlignment="1">
      <alignment horizontal="center" vertical="center" shrinkToFit="1"/>
    </xf>
    <xf numFmtId="180" fontId="2" fillId="0" borderId="7" xfId="0" applyNumberFormat="1" applyFont="1" applyBorder="1" applyAlignment="1">
      <alignment horizontal="center" vertical="center" shrinkToFit="1"/>
    </xf>
    <xf numFmtId="49" fontId="10" fillId="0" borderId="0" xfId="0" applyNumberFormat="1" applyFont="1" applyAlignment="1" applyProtection="1">
      <alignment horizontal="left" vertical="center" shrinkToFit="1"/>
      <protection hidden="1"/>
    </xf>
  </cellXfs>
  <cellStyles count="6">
    <cellStyle name="표준" xfId="0" builtinId="0"/>
    <cellStyle name="표준 2" xfId="2" xr:uid="{00000000-0005-0000-0000-000001000000}"/>
    <cellStyle name="표준 2 2" xfId="3" xr:uid="{92AECC63-39AA-4E4A-B5C7-977AA3E6A407}"/>
    <cellStyle name="표준 3" xfId="4" xr:uid="{0B75A1B2-01EB-407F-9F27-91BEB0AEF4C6}"/>
    <cellStyle name="표준 4" xfId="5" xr:uid="{4008A85F-364F-4F4B-9EAF-815CAF1116DD}"/>
    <cellStyle name="하이퍼링크" xfId="1" builtinId="8"/>
  </cellStyles>
  <dxfs count="14"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  <dxf>
      <numFmt numFmtId="176" formatCode="#,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4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0" y="523875"/>
          <a:ext cx="2514600" cy="419100"/>
        </a:xfrm>
        <a:prstGeom prst="line">
          <a:avLst/>
        </a:prstGeom>
        <a:ln>
          <a:solidFill>
            <a:srgbClr val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http://www.stma.co.kr/" TargetMode="External"/><Relationship Id="rId1" Type="http://schemas.openxmlformats.org/officeDocument/2006/relationships/hyperlink" Target="http://www.stma.co.kr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workbookViewId="0">
      <pane ySplit="4" topLeftCell="A11" activePane="bottomLeft" state="frozenSplit"/>
      <selection activeCell="C8" sqref="C8"/>
      <selection pane="bottomLeft" activeCell="A25" sqref="A25:C25"/>
    </sheetView>
  </sheetViews>
  <sheetFormatPr defaultColWidth="9.125" defaultRowHeight="16.5" x14ac:dyDescent="0.3"/>
  <cols>
    <col min="1" max="2" width="4.75" style="3" customWidth="1"/>
    <col min="3" max="3" width="23.5" style="3" customWidth="1"/>
    <col min="4" max="4" width="11.5" style="3" customWidth="1"/>
    <col min="5" max="5" width="8.5" style="3" customWidth="1"/>
    <col min="6" max="6" width="49.75" style="3" customWidth="1"/>
    <col min="7" max="7" width="9.125" style="3" hidden="1" customWidth="1"/>
    <col min="8" max="8" width="9.125" style="14" customWidth="1"/>
    <col min="9" max="16384" width="9.125" style="3"/>
  </cols>
  <sheetData>
    <row r="1" spans="1:8" ht="24.95" customHeight="1" x14ac:dyDescent="0.3">
      <c r="A1" s="108" t="s">
        <v>428</v>
      </c>
      <c r="B1" s="109"/>
      <c r="C1" s="109"/>
      <c r="D1" s="109"/>
      <c r="E1" s="109"/>
      <c r="F1" s="109"/>
      <c r="G1" s="2" t="s">
        <v>102</v>
      </c>
      <c r="H1" s="15" t="s">
        <v>102</v>
      </c>
    </row>
    <row r="2" spans="1:8" ht="17.100000000000001" customHeight="1" x14ac:dyDescent="0.3">
      <c r="A2" s="1" t="s">
        <v>582</v>
      </c>
      <c r="F2" s="57"/>
      <c r="G2" s="17" t="str">
        <f ca="1">MID(CELL("filename",$A$1),FIND("]",CELL("filename",$A$1))+1,LEN(CELL("filename",$A$1)))</f>
        <v>공사원가계산서</v>
      </c>
    </row>
    <row r="3" spans="1:8" ht="17.100000000000001" customHeight="1" x14ac:dyDescent="0.3">
      <c r="A3" s="110" t="s">
        <v>430</v>
      </c>
      <c r="B3" s="111"/>
      <c r="C3" s="111"/>
      <c r="D3" s="112" t="s">
        <v>373</v>
      </c>
      <c r="E3" s="112" t="s">
        <v>431</v>
      </c>
      <c r="F3" s="112" t="s">
        <v>432</v>
      </c>
    </row>
    <row r="4" spans="1:8" ht="17.100000000000001" customHeight="1" x14ac:dyDescent="0.3">
      <c r="A4" s="114" t="s">
        <v>429</v>
      </c>
      <c r="B4" s="115"/>
      <c r="C4" s="115"/>
      <c r="D4" s="113"/>
      <c r="E4" s="113"/>
      <c r="F4" s="113"/>
      <c r="H4" s="16" t="str">
        <f>HYPERLINK("#'〓 목 차 〓'!B2","목차 →")</f>
        <v>목차 →</v>
      </c>
    </row>
    <row r="5" spans="1:8" ht="17.100000000000001" customHeight="1" x14ac:dyDescent="0.3">
      <c r="A5" s="119" t="s">
        <v>455</v>
      </c>
      <c r="B5" s="119" t="s">
        <v>4</v>
      </c>
      <c r="C5" s="49" t="s">
        <v>433</v>
      </c>
      <c r="D5" s="51">
        <f>총괄내역서!D5-D6+D7</f>
        <v>0</v>
      </c>
      <c r="E5" s="54" t="e">
        <f>D5/D29*100</f>
        <v>#DIV/0!</v>
      </c>
      <c r="F5" s="58"/>
      <c r="H5" s="16" t="str">
        <f ca="1">HYPERLINK("#"&amp;총괄내역서!H2&amp;"!D"&amp;ROW(총괄내역서!D5),"총괄표 →")</f>
        <v>총괄표 →</v>
      </c>
    </row>
    <row r="6" spans="1:8" ht="17.100000000000001" customHeight="1" x14ac:dyDescent="0.3">
      <c r="A6" s="120"/>
      <c r="B6" s="120"/>
      <c r="C6" s="49" t="s">
        <v>434</v>
      </c>
      <c r="D6" s="52">
        <v>0</v>
      </c>
      <c r="E6" s="54" t="e">
        <f>D6/D29*100</f>
        <v>#DIV/0!</v>
      </c>
      <c r="F6" s="59"/>
    </row>
    <row r="7" spans="1:8" ht="17.100000000000001" customHeight="1" x14ac:dyDescent="0.3">
      <c r="A7" s="120"/>
      <c r="B7" s="120"/>
      <c r="C7" s="49" t="s">
        <v>435</v>
      </c>
      <c r="D7" s="52">
        <v>0</v>
      </c>
      <c r="E7" s="54" t="e">
        <f>D7/D29*100</f>
        <v>#DIV/0!</v>
      </c>
      <c r="F7" s="59"/>
    </row>
    <row r="8" spans="1:8" ht="17.100000000000001" customHeight="1" x14ac:dyDescent="0.3">
      <c r="A8" s="120"/>
      <c r="B8" s="115"/>
      <c r="C8" s="10" t="s">
        <v>436</v>
      </c>
      <c r="D8" s="53">
        <f>+D5+D6-D7</f>
        <v>0</v>
      </c>
      <c r="E8" s="55" t="e">
        <f>D8/D29*100</f>
        <v>#DIV/0!</v>
      </c>
      <c r="F8" s="60"/>
    </row>
    <row r="9" spans="1:8" ht="17.100000000000001" customHeight="1" x14ac:dyDescent="0.3">
      <c r="A9" s="120"/>
      <c r="B9" s="119" t="s">
        <v>5</v>
      </c>
      <c r="C9" s="49" t="s">
        <v>437</v>
      </c>
      <c r="D9" s="51">
        <f>총괄내역서!E5</f>
        <v>0</v>
      </c>
      <c r="E9" s="54" t="e">
        <f>D9/D29*100</f>
        <v>#DIV/0!</v>
      </c>
      <c r="F9" s="58"/>
      <c r="H9" s="16" t="str">
        <f ca="1">HYPERLINK("#"&amp;총괄내역서!H2&amp;"!E"&amp;ROW(총괄내역서!E5),"총괄표 →")</f>
        <v>총괄표 →</v>
      </c>
    </row>
    <row r="10" spans="1:8" ht="17.100000000000001" customHeight="1" x14ac:dyDescent="0.3">
      <c r="A10" s="120"/>
      <c r="B10" s="120"/>
      <c r="C10" s="49" t="s">
        <v>438</v>
      </c>
      <c r="D10" s="51">
        <f>총괄내역서!G6</f>
        <v>0</v>
      </c>
      <c r="E10" s="54" t="e">
        <f>D10/D29*100</f>
        <v>#DIV/0!</v>
      </c>
      <c r="F10" s="61" t="str">
        <f>"직접노무비 x "&amp;ROUND(총괄내역서!M6,3)&amp;"%"</f>
        <v>직접노무비 x 19.1%</v>
      </c>
      <c r="H10" s="16" t="str">
        <f ca="1">HYPERLINK("#"&amp;총괄내역서!H2&amp;"!G"&amp;ROW(총괄내역서!G6),"총괄표 →")</f>
        <v>총괄표 →</v>
      </c>
    </row>
    <row r="11" spans="1:8" ht="17.100000000000001" customHeight="1" x14ac:dyDescent="0.3">
      <c r="A11" s="120"/>
      <c r="B11" s="115"/>
      <c r="C11" s="10" t="s">
        <v>436</v>
      </c>
      <c r="D11" s="53">
        <f>+D9+D10</f>
        <v>0</v>
      </c>
      <c r="E11" s="55" t="e">
        <f>D11/D29*100</f>
        <v>#DIV/0!</v>
      </c>
      <c r="F11" s="60"/>
    </row>
    <row r="12" spans="1:8" ht="17.100000000000001" customHeight="1" x14ac:dyDescent="0.3">
      <c r="A12" s="120"/>
      <c r="B12" s="119" t="s">
        <v>456</v>
      </c>
      <c r="C12" s="49" t="s">
        <v>439</v>
      </c>
      <c r="D12" s="51">
        <f>총괄내역서!F5</f>
        <v>0</v>
      </c>
      <c r="E12" s="54" t="e">
        <f>D12/D29*100</f>
        <v>#DIV/0!</v>
      </c>
      <c r="F12" s="58"/>
      <c r="H12" s="16" t="str">
        <f ca="1">HYPERLINK("#"&amp;총괄내역서!H2&amp;"!F"&amp;ROW(총괄내역서!F5),"총괄표 →")</f>
        <v>총괄표 →</v>
      </c>
    </row>
    <row r="13" spans="1:8" ht="17.100000000000001" customHeight="1" x14ac:dyDescent="0.3">
      <c r="A13" s="120"/>
      <c r="B13" s="120"/>
      <c r="C13" s="49" t="s">
        <v>440</v>
      </c>
      <c r="D13" s="51">
        <f>총괄내역서!G7</f>
        <v>0</v>
      </c>
      <c r="E13" s="54" t="e">
        <f>D13/D29*100</f>
        <v>#DIV/0!</v>
      </c>
      <c r="F13" s="61" t="str">
        <f>"노 무 비 x "&amp;ROUND(총괄내역서!M7,3)&amp;"%"</f>
        <v>노 무 비 x 3.56%</v>
      </c>
      <c r="H13" s="16" t="str">
        <f ca="1">HYPERLINK("#"&amp;총괄내역서!H2&amp;"!G"&amp;ROW(총괄내역서!G7),"총괄표 →")</f>
        <v>총괄표 →</v>
      </c>
    </row>
    <row r="14" spans="1:8" ht="17.100000000000001" customHeight="1" x14ac:dyDescent="0.3">
      <c r="A14" s="120"/>
      <c r="B14" s="120"/>
      <c r="C14" s="49" t="s">
        <v>441</v>
      </c>
      <c r="D14" s="51">
        <f>총괄내역서!G8</f>
        <v>0</v>
      </c>
      <c r="E14" s="54" t="e">
        <f>D14/D29*100</f>
        <v>#DIV/0!</v>
      </c>
      <c r="F14" s="61" t="str">
        <f>"노 무 비 x "&amp;ROUND(총괄내역서!M8,3)&amp;"%"</f>
        <v>노 무 비 x 1.01%</v>
      </c>
      <c r="H14" s="16" t="str">
        <f ca="1">HYPERLINK("#"&amp;총괄내역서!H2&amp;"!G"&amp;ROW(총괄내역서!G8),"총괄표 →")</f>
        <v>총괄표 →</v>
      </c>
    </row>
    <row r="15" spans="1:8" ht="17.100000000000001" customHeight="1" x14ac:dyDescent="0.3">
      <c r="A15" s="120"/>
      <c r="B15" s="120"/>
      <c r="C15" s="49" t="s">
        <v>442</v>
      </c>
      <c r="D15" s="51">
        <f>총괄내역서!G9</f>
        <v>0</v>
      </c>
      <c r="E15" s="54" t="e">
        <f>D15/D29*100</f>
        <v>#DIV/0!</v>
      </c>
      <c r="F15" s="61" t="str">
        <f>"직접노무비 x "&amp;ROUND(총괄내역서!M9,3)&amp;"%"</f>
        <v>직접노무비 x 3.595%</v>
      </c>
      <c r="H15" s="16" t="str">
        <f ca="1">HYPERLINK("#"&amp;총괄내역서!H2&amp;"!G"&amp;ROW(총괄내역서!G9),"총괄표 →")</f>
        <v>총괄표 →</v>
      </c>
    </row>
    <row r="16" spans="1:8" ht="17.100000000000001" customHeight="1" x14ac:dyDescent="0.3">
      <c r="A16" s="120"/>
      <c r="B16" s="120"/>
      <c r="C16" s="49" t="s">
        <v>443</v>
      </c>
      <c r="D16" s="51">
        <f>총괄내역서!G10</f>
        <v>0</v>
      </c>
      <c r="E16" s="54" t="e">
        <f>D16/D29*100</f>
        <v>#DIV/0!</v>
      </c>
      <c r="F16" s="61" t="str">
        <f>"직접노무비 x "&amp;ROUND(총괄내역서!M10,3)&amp;"%"</f>
        <v>직접노무비 x 4.75%</v>
      </c>
      <c r="H16" s="16" t="str">
        <f ca="1">HYPERLINK("#"&amp;총괄내역서!H2&amp;"!G"&amp;ROW(총괄내역서!G10),"총괄표 →")</f>
        <v>총괄표 →</v>
      </c>
    </row>
    <row r="17" spans="1:8" ht="17.100000000000001" customHeight="1" x14ac:dyDescent="0.3">
      <c r="A17" s="120"/>
      <c r="B17" s="120"/>
      <c r="C17" s="49" t="s">
        <v>444</v>
      </c>
      <c r="D17" s="51">
        <f>총괄내역서!G11</f>
        <v>0</v>
      </c>
      <c r="E17" s="54" t="e">
        <f>D17/D29*100</f>
        <v>#DIV/0!</v>
      </c>
      <c r="F17" s="61" t="str">
        <f>"건강보험료 x "&amp;ROUND(총괄내역서!M11,3)&amp;"%"</f>
        <v>건강보험료 x 13.14%</v>
      </c>
      <c r="H17" s="16" t="str">
        <f ca="1">HYPERLINK("#"&amp;총괄내역서!H2&amp;"!G"&amp;ROW(총괄내역서!G11),"총괄표 →")</f>
        <v>총괄표 →</v>
      </c>
    </row>
    <row r="18" spans="1:8" ht="17.100000000000001" customHeight="1" x14ac:dyDescent="0.3">
      <c r="A18" s="120"/>
      <c r="B18" s="120"/>
      <c r="C18" s="49" t="s">
        <v>445</v>
      </c>
      <c r="D18" s="51">
        <f>총괄내역서!G12</f>
        <v>0</v>
      </c>
      <c r="E18" s="54" t="e">
        <f>D18/D29*100</f>
        <v>#DIV/0!</v>
      </c>
      <c r="F18" s="61" t="str">
        <f>"(직노+직재+간재) x "&amp;ROUND(총괄내역서!M12,3)&amp;"% = 2,637,206"</f>
        <v>(직노+직재+간재) x 3.15% = 2,637,206</v>
      </c>
      <c r="H18" s="16" t="str">
        <f ca="1">HYPERLINK("#"&amp;총괄내역서!H2&amp;"!G"&amp;ROW(총괄내역서!G12),"총괄표 →")</f>
        <v>총괄표 →</v>
      </c>
    </row>
    <row r="19" spans="1:8" ht="17.100000000000001" customHeight="1" x14ac:dyDescent="0.3">
      <c r="A19" s="120"/>
      <c r="B19" s="120"/>
      <c r="C19" s="49" t="s">
        <v>446</v>
      </c>
      <c r="D19" s="51">
        <f>총괄내역서!G13</f>
        <v>0</v>
      </c>
      <c r="E19" s="54" t="e">
        <f>D19/D29*100</f>
        <v>#DIV/0!</v>
      </c>
      <c r="F19" s="61" t="str">
        <f>"(재료비+노무비) x "&amp;ROUND(총괄내역서!M13,3)&amp;"%"</f>
        <v>(재료비+노무비) x 5.5%</v>
      </c>
      <c r="H19" s="16" t="str">
        <f ca="1">HYPERLINK("#"&amp;총괄내역서!H2&amp;"!G"&amp;ROW(총괄내역서!G13),"총괄표 →")</f>
        <v>총괄표 →</v>
      </c>
    </row>
    <row r="20" spans="1:8" ht="17.100000000000001" customHeight="1" x14ac:dyDescent="0.3">
      <c r="A20" s="120"/>
      <c r="B20" s="120"/>
      <c r="C20" s="49" t="s">
        <v>447</v>
      </c>
      <c r="D20" s="51">
        <f>총괄내역서!G14</f>
        <v>0</v>
      </c>
      <c r="E20" s="54" t="e">
        <f>D20/D29*100</f>
        <v>#DIV/0!</v>
      </c>
      <c r="F20" s="61" t="str">
        <f>"(재료비+직노+산출경비) x "&amp;ROUND(총괄내역서!M14,3)&amp;"%"</f>
        <v>(재료비+직노+산출경비) x 0.5%</v>
      </c>
      <c r="H20" s="16" t="str">
        <f ca="1">HYPERLINK("#"&amp;총괄내역서!H2&amp;"!G"&amp;ROW(총괄내역서!G14),"총괄표 →")</f>
        <v>총괄표 →</v>
      </c>
    </row>
    <row r="21" spans="1:8" ht="17.100000000000001" customHeight="1" x14ac:dyDescent="0.3">
      <c r="A21" s="120"/>
      <c r="B21" s="120"/>
      <c r="C21" s="49" t="s">
        <v>448</v>
      </c>
      <c r="D21" s="51">
        <f>총괄내역서!G15</f>
        <v>0</v>
      </c>
      <c r="E21" s="54" t="e">
        <f>D21/D29*100</f>
        <v>#DIV/0!</v>
      </c>
      <c r="F21" s="61" t="str">
        <f>"(재료비+직노+산출경비) x "&amp;ROUND(총괄내역서!M15,3)&amp;"%"</f>
        <v>(재료비+직노+산출경비) x 0.51%</v>
      </c>
      <c r="H21" s="16" t="str">
        <f ca="1">HYPERLINK("#"&amp;총괄내역서!H2&amp;"!G"&amp;ROW(총괄내역서!G15),"총괄표 →")</f>
        <v>총괄표 →</v>
      </c>
    </row>
    <row r="22" spans="1:8" ht="17.100000000000001" customHeight="1" x14ac:dyDescent="0.3">
      <c r="A22" s="120"/>
      <c r="B22" s="120"/>
      <c r="C22" s="49" t="s">
        <v>580</v>
      </c>
      <c r="D22" s="78">
        <f>D9*0.023</f>
        <v>0</v>
      </c>
      <c r="E22" s="54" t="e">
        <f>D22/D29*100</f>
        <v>#DIV/0!</v>
      </c>
      <c r="F22" s="61" t="s">
        <v>581</v>
      </c>
      <c r="H22" s="16"/>
    </row>
    <row r="23" spans="1:8" ht="17.100000000000001" customHeight="1" x14ac:dyDescent="0.3">
      <c r="A23" s="115"/>
      <c r="B23" s="115"/>
      <c r="C23" s="50" t="s">
        <v>436</v>
      </c>
      <c r="D23" s="53">
        <f>+D12+D13+D14+D15+D16+D17+D18+D19+D20+D21+D22</f>
        <v>0</v>
      </c>
      <c r="E23" s="55" t="e">
        <f>D23/D29*100</f>
        <v>#DIV/0!</v>
      </c>
      <c r="F23" s="60"/>
    </row>
    <row r="24" spans="1:8" ht="17.100000000000001" customHeight="1" x14ac:dyDescent="0.3">
      <c r="A24" s="121" t="s">
        <v>449</v>
      </c>
      <c r="B24" s="115"/>
      <c r="C24" s="122"/>
      <c r="D24" s="44">
        <f>총괄내역서!G20</f>
        <v>0</v>
      </c>
      <c r="E24" s="56" t="e">
        <f>D24/D29*100</f>
        <v>#DIV/0!</v>
      </c>
      <c r="F24" s="62" t="str">
        <f>"순공사원가 x "&amp;ROUND(총괄내역서!M20,3)&amp;"%"</f>
        <v>순공사원가 x 8%</v>
      </c>
      <c r="H24" s="16" t="str">
        <f ca="1">HYPERLINK("#"&amp;총괄내역서!H2&amp;"!G"&amp;ROW(총괄내역서!G20),"총괄표 →")</f>
        <v>총괄표 →</v>
      </c>
    </row>
    <row r="25" spans="1:8" ht="17.100000000000001" customHeight="1" x14ac:dyDescent="0.3">
      <c r="A25" s="118" t="s">
        <v>450</v>
      </c>
      <c r="B25" s="117"/>
      <c r="C25" s="117"/>
      <c r="D25" s="44">
        <f>총괄내역서!G22</f>
        <v>0</v>
      </c>
      <c r="E25" s="56" t="e">
        <f>D25/D29*100</f>
        <v>#DIV/0!</v>
      </c>
      <c r="F25" s="62" t="str">
        <f>"(노무비+경비+일반관리비) x "&amp;ROUND(총괄내역서!M22,3)&amp;"%"</f>
        <v>(노무비+경비+일반관리비) x 15%</v>
      </c>
      <c r="H25" s="16" t="str">
        <f ca="1">HYPERLINK("#"&amp;총괄내역서!H2&amp;"!G"&amp;ROW(총괄내역서!G22),"총괄표 →")</f>
        <v>총괄표 →</v>
      </c>
    </row>
    <row r="26" spans="1:8" ht="17.100000000000001" customHeight="1" x14ac:dyDescent="0.3">
      <c r="A26" s="116" t="s">
        <v>451</v>
      </c>
      <c r="B26" s="117"/>
      <c r="C26" s="117"/>
      <c r="D26" s="44">
        <f>총괄내역서!G24</f>
        <v>0</v>
      </c>
      <c r="E26" s="56" t="e">
        <f>D26/D29*100</f>
        <v>#DIV/0!</v>
      </c>
      <c r="F26" s="33"/>
      <c r="H26" s="16" t="str">
        <f ca="1">HYPERLINK("#"&amp;총괄내역서!H2&amp;"!G"&amp;ROW(총괄내역서!G24),"총괄표 →")</f>
        <v>총괄표 →</v>
      </c>
    </row>
    <row r="27" spans="1:8" ht="17.100000000000001" customHeight="1" x14ac:dyDescent="0.3">
      <c r="A27" s="118" t="s">
        <v>452</v>
      </c>
      <c r="B27" s="117"/>
      <c r="C27" s="117"/>
      <c r="D27" s="44">
        <f>총괄내역서!G25</f>
        <v>0</v>
      </c>
      <c r="E27" s="56" t="e">
        <f>D27/D29*100</f>
        <v>#DIV/0!</v>
      </c>
      <c r="F27" s="62" t="str">
        <f>"총 원 가 x "&amp;ROUND(총괄내역서!M26,3)&amp;"%"</f>
        <v>총 원 가 x 10%</v>
      </c>
      <c r="H27" s="16" t="str">
        <f ca="1">HYPERLINK("#"&amp;총괄내역서!H2&amp;"!G"&amp;ROW(총괄내역서!G25),"총괄표 →")</f>
        <v>총괄표 →</v>
      </c>
    </row>
    <row r="28" spans="1:8" ht="17.100000000000001" customHeight="1" x14ac:dyDescent="0.3">
      <c r="A28" s="116" t="s">
        <v>453</v>
      </c>
      <c r="B28" s="117"/>
      <c r="C28" s="117"/>
      <c r="D28" s="44">
        <f>총괄내역서!G26</f>
        <v>0</v>
      </c>
      <c r="E28" s="56" t="e">
        <f>D28/D29*100</f>
        <v>#DIV/0!</v>
      </c>
      <c r="F28" s="33"/>
      <c r="H28" s="16" t="str">
        <f ca="1">HYPERLINK("#"&amp;총괄내역서!H2&amp;"!G"&amp;ROW(총괄내역서!G26),"총괄표 →")</f>
        <v>총괄표 →</v>
      </c>
    </row>
    <row r="29" spans="1:8" ht="17.100000000000001" customHeight="1" x14ac:dyDescent="0.3">
      <c r="A29" s="116" t="s">
        <v>454</v>
      </c>
      <c r="B29" s="117"/>
      <c r="C29" s="117"/>
      <c r="D29" s="44">
        <f>D28</f>
        <v>0</v>
      </c>
      <c r="E29" s="56">
        <v>100</v>
      </c>
      <c r="F29" s="33"/>
    </row>
  </sheetData>
  <mergeCells count="16">
    <mergeCell ref="A26:C26"/>
    <mergeCell ref="A27:C27"/>
    <mergeCell ref="A28:C28"/>
    <mergeCell ref="A29:C29"/>
    <mergeCell ref="A5:A23"/>
    <mergeCell ref="B5:B8"/>
    <mergeCell ref="B9:B11"/>
    <mergeCell ref="B12:B23"/>
    <mergeCell ref="A24:C24"/>
    <mergeCell ref="A25:C25"/>
    <mergeCell ref="A1:F1"/>
    <mergeCell ref="A3:C3"/>
    <mergeCell ref="D3:D4"/>
    <mergeCell ref="E3:E4"/>
    <mergeCell ref="F3:F4"/>
    <mergeCell ref="A4:C4"/>
  </mergeCells>
  <phoneticPr fontId="12" type="noConversion"/>
  <hyperlinks>
    <hyperlink ref="H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000-000000000000}"/>
    <hyperlink ref="G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000-000001000000}"/>
  </hyperlinks>
  <printOptions horizontalCentered="1"/>
  <pageMargins left="0.78740157480314965" right="0.78740157480314965" top="0.59055118110236215" bottom="0.59055118110236215" header="0" footer="0.39370078740157477"/>
  <pageSetup paperSize="9" fitToWidth="0" fitToHeight="0" orientation="landscape" r:id="rId3"/>
  <headerFooter alignWithMargins="0">
    <oddFooter>&amp;C&amp;"굴림체,"&amp;9 - &amp;P -&amp;R&amp;"굴림체,"&amp;9 인천광역시 계양구청(건설과)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7"/>
  <sheetViews>
    <sheetView tabSelected="1" view="pageBreakPreview" zoomScaleNormal="115" zoomScaleSheetLayoutView="100" workbookViewId="0">
      <pane ySplit="3" topLeftCell="A4" activePane="bottomLeft" state="frozenSplit"/>
      <selection activeCell="C8" sqref="C8"/>
      <selection pane="bottomLeft" sqref="A1:G1"/>
    </sheetView>
  </sheetViews>
  <sheetFormatPr defaultColWidth="9.125" defaultRowHeight="16.5" x14ac:dyDescent="0.3"/>
  <cols>
    <col min="1" max="1" width="10" style="3" customWidth="1"/>
    <col min="2" max="2" width="26.5" style="3" customWidth="1"/>
    <col min="3" max="3" width="22.75" style="3" customWidth="1"/>
    <col min="4" max="7" width="17.5" style="3" customWidth="1"/>
    <col min="8" max="8" width="9.125" style="12" hidden="1" customWidth="1"/>
    <col min="9" max="12" width="2.125" style="3" customWidth="1"/>
    <col min="13" max="14" width="4" style="3" customWidth="1"/>
    <col min="15" max="15" width="4" style="12" customWidth="1"/>
    <col min="16" max="16" width="12.625" style="12" customWidth="1"/>
    <col min="17" max="17" width="9.125" style="14" customWidth="1"/>
    <col min="18" max="16384" width="9.125" style="3"/>
  </cols>
  <sheetData>
    <row r="1" spans="1:17" ht="24.95" customHeight="1" x14ac:dyDescent="0.3">
      <c r="A1" s="108" t="s">
        <v>374</v>
      </c>
      <c r="B1" s="109"/>
      <c r="C1" s="109"/>
      <c r="D1" s="109"/>
      <c r="E1" s="109"/>
      <c r="F1" s="109"/>
      <c r="G1" s="109"/>
      <c r="H1" s="15" t="s">
        <v>102</v>
      </c>
      <c r="Q1" s="15" t="s">
        <v>102</v>
      </c>
    </row>
    <row r="2" spans="1:17" ht="24" customHeight="1" x14ac:dyDescent="0.3">
      <c r="A2" s="1" t="s">
        <v>615</v>
      </c>
      <c r="H2" s="17" t="str">
        <f ca="1">MID(CELL("filename",$A$1),FIND("]",CELL("filename",$A$1))+1,LEN(CELL("filename",$A$1)))</f>
        <v>총괄내역서</v>
      </c>
    </row>
    <row r="3" spans="1:17" ht="24" customHeight="1" x14ac:dyDescent="0.3">
      <c r="A3" s="5" t="s">
        <v>371</v>
      </c>
      <c r="B3" s="5" t="s">
        <v>1</v>
      </c>
      <c r="C3" s="5" t="s">
        <v>2</v>
      </c>
      <c r="D3" s="5" t="s">
        <v>4</v>
      </c>
      <c r="E3" s="5" t="s">
        <v>5</v>
      </c>
      <c r="F3" s="5" t="s">
        <v>6</v>
      </c>
      <c r="G3" s="10" t="s">
        <v>7</v>
      </c>
      <c r="H3" s="13" t="s">
        <v>399</v>
      </c>
      <c r="Q3" s="16" t="str">
        <f>HYPERLINK("#'〓 목 차 〓'!B2","목차 →")</f>
        <v>목차 →</v>
      </c>
    </row>
    <row r="4" spans="1:17" ht="24" customHeight="1" x14ac:dyDescent="0.3">
      <c r="A4" s="7" t="s">
        <v>376</v>
      </c>
      <c r="B4" s="7" t="s">
        <v>377</v>
      </c>
      <c r="C4" s="7"/>
      <c r="D4" s="38">
        <f>설계내역서!G5</f>
        <v>0</v>
      </c>
      <c r="E4" s="38">
        <f>설계내역서!I5</f>
        <v>0</v>
      </c>
      <c r="F4" s="38">
        <f>설계내역서!K5</f>
        <v>0</v>
      </c>
      <c r="G4" s="44">
        <f>설계내역서!M5</f>
        <v>0</v>
      </c>
      <c r="Q4" s="16" t="str">
        <f ca="1">HYPERLINK("#"&amp;설계내역서!O2&amp;"!A"&amp;ROW(설계내역서!A5),"내역 →")</f>
        <v>내역 →</v>
      </c>
    </row>
    <row r="5" spans="1:17" ht="24" customHeight="1" x14ac:dyDescent="0.3">
      <c r="A5" s="7" t="s">
        <v>400</v>
      </c>
      <c r="B5" s="7" t="s">
        <v>401</v>
      </c>
      <c r="C5" s="7"/>
      <c r="D5" s="38">
        <f>D4</f>
        <v>0</v>
      </c>
      <c r="E5" s="38">
        <f t="shared" ref="E5:G5" si="0">E4</f>
        <v>0</v>
      </c>
      <c r="F5" s="38">
        <f t="shared" si="0"/>
        <v>0</v>
      </c>
      <c r="G5" s="38">
        <f t="shared" si="0"/>
        <v>0</v>
      </c>
      <c r="Q5" s="16" t="e">
        <f ca="1">HYPERLINK("#"&amp;설계내역서!O2&amp;"!A"&amp;ROW(설계내역서!#REF!),"내역 →")</f>
        <v>#REF!</v>
      </c>
    </row>
    <row r="6" spans="1:17" ht="24" customHeight="1" x14ac:dyDescent="0.3">
      <c r="A6" s="7"/>
      <c r="B6" s="7" t="s">
        <v>402</v>
      </c>
      <c r="C6" s="7"/>
      <c r="D6" s="123" t="str">
        <f>"직접노무비 x "&amp;ROUND(M6,3)&amp;"%"</f>
        <v>직접노무비 x 19.1%</v>
      </c>
      <c r="E6" s="117"/>
      <c r="F6" s="117"/>
      <c r="G6" s="44">
        <f>ROUNDDOWN(E5*M6/100,0)-K6</f>
        <v>0</v>
      </c>
      <c r="H6" s="13" t="s">
        <v>403</v>
      </c>
      <c r="I6" s="30">
        <v>0</v>
      </c>
      <c r="M6" s="79">
        <v>19.100000000000001</v>
      </c>
      <c r="N6" s="30">
        <v>0</v>
      </c>
      <c r="O6" s="48">
        <v>0</v>
      </c>
      <c r="P6" s="48">
        <v>0</v>
      </c>
    </row>
    <row r="7" spans="1:17" ht="24" customHeight="1" x14ac:dyDescent="0.3">
      <c r="A7" s="7"/>
      <c r="B7" s="7" t="s">
        <v>404</v>
      </c>
      <c r="C7" s="7"/>
      <c r="D7" s="123" t="str">
        <f>"(직접노무비+간접노무비) x "&amp;ROUND(M7,3)&amp;"%"</f>
        <v>(직접노무비+간접노무비) x 3.56%</v>
      </c>
      <c r="E7" s="117"/>
      <c r="F7" s="117"/>
      <c r="G7" s="44">
        <f>ROUNDDOWN((E5+G6)*M7/100,0)-K7</f>
        <v>0</v>
      </c>
      <c r="H7" s="13" t="s">
        <v>405</v>
      </c>
      <c r="I7" s="30">
        <v>0</v>
      </c>
      <c r="M7" s="47">
        <v>3.56</v>
      </c>
      <c r="N7" s="30">
        <v>0</v>
      </c>
      <c r="O7" s="48">
        <v>0</v>
      </c>
      <c r="P7" s="48">
        <v>0</v>
      </c>
    </row>
    <row r="8" spans="1:17" ht="24" customHeight="1" x14ac:dyDescent="0.3">
      <c r="A8" s="7"/>
      <c r="B8" s="7" t="s">
        <v>406</v>
      </c>
      <c r="C8" s="7"/>
      <c r="D8" s="123" t="str">
        <f>"(직접노무비+간접노무비) x "&amp;ROUND(M8,3)&amp;"%"</f>
        <v>(직접노무비+간접노무비) x 1.01%</v>
      </c>
      <c r="E8" s="117"/>
      <c r="F8" s="117"/>
      <c r="G8" s="44">
        <f>ROUNDDOWN((E5+G6)*M8/100,0)-K8</f>
        <v>0</v>
      </c>
      <c r="H8" s="13" t="s">
        <v>407</v>
      </c>
      <c r="I8" s="30">
        <v>0</v>
      </c>
      <c r="M8" s="47">
        <v>1.01</v>
      </c>
      <c r="N8" s="30">
        <v>0</v>
      </c>
      <c r="O8" s="48">
        <v>0</v>
      </c>
      <c r="P8" s="48">
        <v>0</v>
      </c>
    </row>
    <row r="9" spans="1:17" ht="24" customHeight="1" x14ac:dyDescent="0.3">
      <c r="A9" s="7"/>
      <c r="B9" s="7" t="s">
        <v>408</v>
      </c>
      <c r="C9" s="7"/>
      <c r="D9" s="123" t="str">
        <f>"직접노무비 x "&amp;ROUND(M9,3)&amp;"%"</f>
        <v>직접노무비 x 3.595%</v>
      </c>
      <c r="E9" s="117"/>
      <c r="F9" s="117"/>
      <c r="G9" s="44">
        <f>ROUNDDOWN(E5*M9/100,0)-K9</f>
        <v>0</v>
      </c>
      <c r="H9" s="13" t="s">
        <v>409</v>
      </c>
      <c r="I9" s="30">
        <v>0</v>
      </c>
      <c r="J9" s="40">
        <f>E5</f>
        <v>0</v>
      </c>
      <c r="M9" s="47">
        <v>3.5950000000000002</v>
      </c>
      <c r="N9" s="30">
        <v>0</v>
      </c>
      <c r="O9" s="48">
        <v>0</v>
      </c>
      <c r="P9" s="48">
        <v>0</v>
      </c>
    </row>
    <row r="10" spans="1:17" ht="24" customHeight="1" x14ac:dyDescent="0.3">
      <c r="A10" s="7"/>
      <c r="B10" s="7" t="s">
        <v>410</v>
      </c>
      <c r="C10" s="7"/>
      <c r="D10" s="123" t="str">
        <f>"직접노무비 x "&amp;ROUND(M10,3)&amp;"%"</f>
        <v>직접노무비 x 4.75%</v>
      </c>
      <c r="E10" s="117"/>
      <c r="F10" s="117"/>
      <c r="G10" s="44">
        <f>ROUNDDOWN(E5*M10/100,0)-K10</f>
        <v>0</v>
      </c>
      <c r="H10" s="13" t="s">
        <v>411</v>
      </c>
      <c r="I10" s="30">
        <v>0</v>
      </c>
      <c r="J10" s="40">
        <f>E5</f>
        <v>0</v>
      </c>
      <c r="M10" s="47">
        <v>4.75</v>
      </c>
      <c r="N10" s="30">
        <v>0</v>
      </c>
      <c r="O10" s="48">
        <v>0</v>
      </c>
      <c r="P10" s="48">
        <v>0</v>
      </c>
    </row>
    <row r="11" spans="1:17" ht="24" customHeight="1" x14ac:dyDescent="0.3">
      <c r="A11" s="7"/>
      <c r="B11" s="7" t="s">
        <v>412</v>
      </c>
      <c r="C11" s="7"/>
      <c r="D11" s="123" t="str">
        <f>"건강보험료 x "&amp;ROUND(M11,3)&amp;"%"</f>
        <v>건강보험료 x 13.14%</v>
      </c>
      <c r="E11" s="117"/>
      <c r="F11" s="117"/>
      <c r="G11" s="44">
        <f>ROUNDDOWN(G9*M11/100,0)-K11</f>
        <v>0</v>
      </c>
      <c r="H11" s="13" t="s">
        <v>413</v>
      </c>
      <c r="I11" s="30">
        <v>0</v>
      </c>
      <c r="J11" s="40">
        <f>G9</f>
        <v>0</v>
      </c>
      <c r="M11" s="47">
        <v>13.14</v>
      </c>
      <c r="N11" s="30">
        <v>0</v>
      </c>
      <c r="O11" s="48">
        <v>0</v>
      </c>
      <c r="P11" s="48">
        <v>0</v>
      </c>
    </row>
    <row r="12" spans="1:17" ht="24" customHeight="1" x14ac:dyDescent="0.3">
      <c r="A12" s="7"/>
      <c r="B12" s="7" t="s">
        <v>604</v>
      </c>
      <c r="C12" s="7"/>
      <c r="D12" s="123" t="str">
        <f>"(직노+직재+간재) x "&amp;ROUND(M12,3)&amp;"% "</f>
        <v xml:space="preserve">(직노+직재+간재) x 3.15% </v>
      </c>
      <c r="E12" s="117"/>
      <c r="F12" s="117"/>
      <c r="G12" s="44">
        <f>ROUNDDOWN(((E5+(D5)))*M12/100,0)-K12</f>
        <v>0</v>
      </c>
      <c r="H12" s="13" t="s">
        <v>414</v>
      </c>
      <c r="I12" s="30">
        <v>0</v>
      </c>
      <c r="J12" s="40">
        <f>((E5+(D5)))</f>
        <v>0</v>
      </c>
      <c r="M12" s="47">
        <v>3.15</v>
      </c>
      <c r="N12" s="30">
        <v>0</v>
      </c>
      <c r="O12" s="48">
        <v>0</v>
      </c>
      <c r="P12" s="48">
        <v>0</v>
      </c>
    </row>
    <row r="13" spans="1:17" ht="24" customHeight="1" x14ac:dyDescent="0.3">
      <c r="A13" s="7"/>
      <c r="B13" s="7" t="s">
        <v>605</v>
      </c>
      <c r="C13" s="7"/>
      <c r="D13" s="123" t="str">
        <f>"(직접노무비+간접노무비+재료비) x "&amp;ROUND(M13,3)&amp;"%"</f>
        <v>(직접노무비+간접노무비+재료비) x 5.5%</v>
      </c>
      <c r="E13" s="117"/>
      <c r="F13" s="117"/>
      <c r="G13" s="44">
        <f>ROUNDDOWN((((E5+G6)+(D5)))*M13/100,0)-K13</f>
        <v>0</v>
      </c>
      <c r="H13" s="13" t="s">
        <v>415</v>
      </c>
      <c r="I13" s="30">
        <v>0</v>
      </c>
      <c r="M13" s="47">
        <v>5.5</v>
      </c>
      <c r="N13" s="30">
        <v>0</v>
      </c>
      <c r="O13" s="48">
        <v>0</v>
      </c>
      <c r="P13" s="48">
        <v>0</v>
      </c>
    </row>
    <row r="14" spans="1:17" ht="24" customHeight="1" x14ac:dyDescent="0.3">
      <c r="A14" s="7"/>
      <c r="B14" s="7" t="s">
        <v>606</v>
      </c>
      <c r="C14" s="7"/>
      <c r="D14" s="123" t="str">
        <f>"(재료비 + 직접노무비 + 산출경비) x "&amp;ROUND(M14,3)&amp;"%"</f>
        <v>(재료비 + 직접노무비 + 산출경비) x 0.5%</v>
      </c>
      <c r="E14" s="117"/>
      <c r="F14" s="117"/>
      <c r="G14" s="44">
        <f>ROUNDDOWN((G5)*M14/100,0)-K14</f>
        <v>0</v>
      </c>
      <c r="H14" s="13" t="s">
        <v>416</v>
      </c>
      <c r="I14" s="30">
        <v>0</v>
      </c>
      <c r="M14" s="47">
        <v>0.5</v>
      </c>
      <c r="N14" s="30">
        <v>0</v>
      </c>
      <c r="O14" s="48">
        <v>0</v>
      </c>
      <c r="P14" s="48"/>
    </row>
    <row r="15" spans="1:17" ht="24" customHeight="1" x14ac:dyDescent="0.3">
      <c r="A15" s="7"/>
      <c r="B15" s="7" t="s">
        <v>607</v>
      </c>
      <c r="C15" s="7"/>
      <c r="D15" s="123" t="str">
        <f>"(재료비 + 직접노무비 + 산출경비) x "&amp;ROUND(M15,3)&amp;"%"</f>
        <v>(재료비 + 직접노무비 + 산출경비) x 0.51%</v>
      </c>
      <c r="E15" s="117"/>
      <c r="F15" s="117"/>
      <c r="G15" s="44">
        <f>ROUNDDOWN((G5)*M15/100,0)-K15</f>
        <v>0</v>
      </c>
      <c r="H15" s="13" t="s">
        <v>417</v>
      </c>
      <c r="I15" s="30">
        <v>0</v>
      </c>
      <c r="M15" s="47">
        <v>0.51</v>
      </c>
      <c r="N15" s="30">
        <v>0</v>
      </c>
      <c r="O15" s="48">
        <v>0</v>
      </c>
      <c r="P15" s="48">
        <v>0</v>
      </c>
    </row>
    <row r="16" spans="1:17" ht="24" customHeight="1" x14ac:dyDescent="0.3">
      <c r="A16" s="106"/>
      <c r="B16" s="106" t="s">
        <v>617</v>
      </c>
      <c r="C16" s="106"/>
      <c r="D16" s="123" t="str">
        <f>"(직접노무비) x "&amp;ROUND(M16,3)&amp;"%"</f>
        <v>(직접노무비) x 2.3%</v>
      </c>
      <c r="E16" s="117"/>
      <c r="F16" s="117"/>
      <c r="G16" s="107">
        <f>ROUNDDOWN((E4)*M16/100,0)-K16</f>
        <v>0</v>
      </c>
      <c r="H16" s="13"/>
      <c r="I16" s="30"/>
      <c r="M16" s="47">
        <v>2.2999999999999998</v>
      </c>
      <c r="N16" s="30"/>
      <c r="O16" s="48"/>
      <c r="P16" s="48"/>
    </row>
    <row r="17" spans="1:16" ht="24" customHeight="1" x14ac:dyDescent="0.3">
      <c r="A17" s="97"/>
      <c r="B17" s="97" t="s">
        <v>618</v>
      </c>
      <c r="C17" s="97"/>
      <c r="D17" s="123" t="str">
        <f>"(노무비) x "&amp;ROUND(M17,3)&amp;"%"</f>
        <v>(노무비) x 0.006%</v>
      </c>
      <c r="E17" s="117"/>
      <c r="F17" s="117"/>
      <c r="G17" s="98">
        <f>ROUNDDOWN((E5+G6)*M17/100,0)-K17</f>
        <v>0</v>
      </c>
      <c r="H17" s="13"/>
      <c r="I17" s="30"/>
      <c r="M17" s="47">
        <v>6.0000000000000001E-3</v>
      </c>
      <c r="N17" s="30"/>
      <c r="O17" s="48"/>
      <c r="P17" s="48"/>
    </row>
    <row r="18" spans="1:16" ht="24" customHeight="1" x14ac:dyDescent="0.3">
      <c r="A18" s="97"/>
      <c r="B18" s="97" t="s">
        <v>619</v>
      </c>
      <c r="C18" s="97"/>
      <c r="D18" s="123" t="str">
        <f>"(노무비) x "&amp;ROUND(M18,3)&amp;"%"</f>
        <v>(노무비) x 0.09%</v>
      </c>
      <c r="E18" s="117"/>
      <c r="F18" s="117"/>
      <c r="G18" s="98">
        <f>ROUNDDOWN((E5+G6)*M18/100,0)-K18</f>
        <v>0</v>
      </c>
      <c r="H18" s="13"/>
      <c r="I18" s="30"/>
      <c r="M18" s="47">
        <v>0.09</v>
      </c>
      <c r="N18" s="30"/>
      <c r="O18" s="48"/>
      <c r="P18" s="48"/>
    </row>
    <row r="19" spans="1:16" ht="24" customHeight="1" x14ac:dyDescent="0.3">
      <c r="A19" s="7" t="s">
        <v>418</v>
      </c>
      <c r="B19" s="7" t="s">
        <v>419</v>
      </c>
      <c r="C19" s="7"/>
      <c r="D19" s="124"/>
      <c r="E19" s="117"/>
      <c r="F19" s="117"/>
      <c r="G19" s="44">
        <f>(G5+G6+G7+G8+G9+G10+G11+G12+G13+G14+G15+G16+G17+G18)-K19</f>
        <v>0</v>
      </c>
      <c r="H19" s="13" t="s">
        <v>420</v>
      </c>
      <c r="I19" s="30">
        <v>0</v>
      </c>
      <c r="M19" s="30">
        <v>0</v>
      </c>
      <c r="N19" s="30">
        <v>0</v>
      </c>
      <c r="O19" s="48">
        <v>0</v>
      </c>
      <c r="P19" s="48">
        <v>0</v>
      </c>
    </row>
    <row r="20" spans="1:16" ht="24" customHeight="1" x14ac:dyDescent="0.3">
      <c r="A20" s="7"/>
      <c r="B20" s="7" t="s">
        <v>620</v>
      </c>
      <c r="C20" s="7"/>
      <c r="D20" s="123" t="str">
        <f>"(나.소  계) x "&amp;ROUND(M20,3)&amp;"%"</f>
        <v>(나.소  계) x 8%</v>
      </c>
      <c r="E20" s="117"/>
      <c r="F20" s="117"/>
      <c r="G20" s="44">
        <f>ROUNDDOWN(((G19)+0)*M20/100,0)</f>
        <v>0</v>
      </c>
      <c r="H20" s="13" t="s">
        <v>421</v>
      </c>
      <c r="I20" s="30">
        <v>0</v>
      </c>
      <c r="M20" s="46">
        <v>8</v>
      </c>
      <c r="N20" s="30">
        <v>0</v>
      </c>
      <c r="O20" s="48">
        <v>0</v>
      </c>
      <c r="P20" s="48">
        <v>0</v>
      </c>
    </row>
    <row r="21" spans="1:16" ht="24" customHeight="1" x14ac:dyDescent="0.3">
      <c r="A21" s="7" t="s">
        <v>612</v>
      </c>
      <c r="B21" s="7" t="s">
        <v>419</v>
      </c>
      <c r="C21" s="7"/>
      <c r="D21" s="124"/>
      <c r="E21" s="117"/>
      <c r="F21" s="117"/>
      <c r="G21" s="44">
        <f>(G19+G20)-K21</f>
        <v>0</v>
      </c>
      <c r="H21" s="13" t="s">
        <v>422</v>
      </c>
      <c r="I21" s="30">
        <v>4</v>
      </c>
      <c r="J21" s="40">
        <f>G21</f>
        <v>0</v>
      </c>
      <c r="L21" s="40">
        <f>G21</f>
        <v>0</v>
      </c>
      <c r="M21" s="30">
        <v>0</v>
      </c>
      <c r="N21" s="30">
        <v>0</v>
      </c>
      <c r="O21" s="48">
        <v>0</v>
      </c>
      <c r="P21" s="48">
        <v>0</v>
      </c>
    </row>
    <row r="22" spans="1:16" ht="24" customHeight="1" x14ac:dyDescent="0.3">
      <c r="A22" s="7"/>
      <c r="B22" s="7" t="s">
        <v>621</v>
      </c>
      <c r="C22" s="7"/>
      <c r="D22" s="123" t="str">
        <f>"(다.소계 - 재료비) x "&amp;ROUND(M22,3)&amp;"% = "&amp;TEXT(J22,"#,##0")</f>
        <v>(다.소계 - 재료비) x 15% = 0</v>
      </c>
      <c r="E22" s="117"/>
      <c r="F22" s="117"/>
      <c r="G22" s="44">
        <f>ROUNDDOWN(((G21)-(D5))*M22/100,0)</f>
        <v>0</v>
      </c>
      <c r="H22" s="13" t="s">
        <v>423</v>
      </c>
      <c r="I22" s="45">
        <f>J25-ROUNDDOWN(J25,-I21)</f>
        <v>0</v>
      </c>
      <c r="J22" s="40">
        <f>ROUNDDOWN(((J21)-(D5))*M22/100,0)</f>
        <v>0</v>
      </c>
      <c r="L22" s="40">
        <f>ROUNDDOWN(((L21)-(D5))*M22/100,0)-I22</f>
        <v>0</v>
      </c>
      <c r="M22" s="46">
        <v>15</v>
      </c>
      <c r="N22" s="30">
        <v>0</v>
      </c>
      <c r="O22" s="48">
        <v>0</v>
      </c>
      <c r="P22" s="48">
        <v>0</v>
      </c>
    </row>
    <row r="23" spans="1:16" ht="24" customHeight="1" x14ac:dyDescent="0.3">
      <c r="A23" s="92"/>
      <c r="B23" s="92" t="s">
        <v>622</v>
      </c>
      <c r="C23" s="92"/>
      <c r="D23" s="125"/>
      <c r="E23" s="126"/>
      <c r="F23" s="127"/>
      <c r="G23" s="93">
        <f>설계내역서!M28</f>
        <v>0</v>
      </c>
      <c r="H23" s="13"/>
      <c r="I23" s="45"/>
      <c r="J23" s="40"/>
      <c r="L23" s="40"/>
      <c r="M23" s="46"/>
      <c r="N23" s="30"/>
      <c r="O23" s="48"/>
      <c r="P23" s="48"/>
    </row>
    <row r="24" spans="1:16" ht="24" customHeight="1" x14ac:dyDescent="0.3">
      <c r="A24" s="7" t="s">
        <v>592</v>
      </c>
      <c r="B24" s="7" t="s">
        <v>424</v>
      </c>
      <c r="C24" s="7"/>
      <c r="D24" s="124"/>
      <c r="E24" s="117"/>
      <c r="F24" s="117"/>
      <c r="G24" s="89">
        <f>ROUNDDOWN((G21+G22+G23),-3)</f>
        <v>0</v>
      </c>
      <c r="H24" s="13"/>
      <c r="I24" s="45"/>
      <c r="J24" s="40"/>
      <c r="L24" s="40"/>
      <c r="M24" s="46"/>
      <c r="N24" s="30"/>
      <c r="O24" s="48"/>
      <c r="P24" s="48"/>
    </row>
    <row r="25" spans="1:16" ht="24" customHeight="1" x14ac:dyDescent="0.3">
      <c r="A25" s="7"/>
      <c r="B25" s="7" t="s">
        <v>608</v>
      </c>
      <c r="C25" s="7"/>
      <c r="D25" s="123" t="str">
        <f>"공급가액 x "&amp;ROUND(M26,3)&amp;"%"</f>
        <v>공급가액 x 10%</v>
      </c>
      <c r="E25" s="117"/>
      <c r="F25" s="117"/>
      <c r="G25" s="89">
        <f>ROUNDDOWN((G24)*M26/100,0)+I26-K26</f>
        <v>0</v>
      </c>
      <c r="H25" s="13" t="s">
        <v>425</v>
      </c>
      <c r="I25" s="30">
        <v>0</v>
      </c>
      <c r="J25" s="40">
        <f>(J21+J22)</f>
        <v>0</v>
      </c>
      <c r="L25" s="40">
        <f>(L21+L22)</f>
        <v>0</v>
      </c>
      <c r="M25" s="30">
        <v>0</v>
      </c>
      <c r="N25" s="30">
        <v>0</v>
      </c>
      <c r="O25" s="48">
        <v>4</v>
      </c>
      <c r="P25" s="48">
        <f>G24</f>
        <v>0</v>
      </c>
    </row>
    <row r="26" spans="1:16" ht="24" customHeight="1" x14ac:dyDescent="0.3">
      <c r="A26" s="7" t="s">
        <v>593</v>
      </c>
      <c r="B26" s="7" t="s">
        <v>609</v>
      </c>
      <c r="C26" s="7"/>
      <c r="D26" s="124"/>
      <c r="E26" s="117"/>
      <c r="F26" s="117"/>
      <c r="G26" s="89">
        <f>ROUNDDOWN((G24+G25)-K27,-2)</f>
        <v>0</v>
      </c>
      <c r="H26" s="13" t="s">
        <v>426</v>
      </c>
      <c r="I26" s="46">
        <v>0</v>
      </c>
      <c r="M26" s="46">
        <v>10</v>
      </c>
      <c r="N26" s="30">
        <v>0</v>
      </c>
      <c r="O26" s="48">
        <v>0</v>
      </c>
      <c r="P26" s="48">
        <f t="shared" ref="P26:P27" si="1">G25</f>
        <v>0</v>
      </c>
    </row>
    <row r="27" spans="1:16" ht="24" customHeight="1" x14ac:dyDescent="0.3">
      <c r="H27" s="13" t="s">
        <v>427</v>
      </c>
      <c r="I27" s="30">
        <v>0</v>
      </c>
      <c r="M27" s="30">
        <v>0</v>
      </c>
      <c r="N27" s="30">
        <v>0</v>
      </c>
      <c r="O27" s="48">
        <v>0</v>
      </c>
      <c r="P27" s="48">
        <f t="shared" si="1"/>
        <v>0</v>
      </c>
    </row>
  </sheetData>
  <mergeCells count="22">
    <mergeCell ref="D26:F26"/>
    <mergeCell ref="D11:F11"/>
    <mergeCell ref="D12:F12"/>
    <mergeCell ref="D13:F13"/>
    <mergeCell ref="D14:F14"/>
    <mergeCell ref="D15:F15"/>
    <mergeCell ref="D19:F19"/>
    <mergeCell ref="D20:F20"/>
    <mergeCell ref="D21:F21"/>
    <mergeCell ref="D22:F22"/>
    <mergeCell ref="D24:F24"/>
    <mergeCell ref="D25:F25"/>
    <mergeCell ref="D17:F17"/>
    <mergeCell ref="D18:F18"/>
    <mergeCell ref="D23:F23"/>
    <mergeCell ref="D16:F16"/>
    <mergeCell ref="D10:F10"/>
    <mergeCell ref="A1:G1"/>
    <mergeCell ref="D6:F6"/>
    <mergeCell ref="D7:F7"/>
    <mergeCell ref="D8:F8"/>
    <mergeCell ref="D9:F9"/>
  </mergeCells>
  <phoneticPr fontId="12" type="noConversion"/>
  <hyperlinks>
    <hyperlink ref="H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100-000000000000}"/>
    <hyperlink ref="Q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100-000001000000}"/>
  </hyperlinks>
  <printOptions horizontalCentered="1"/>
  <pageMargins left="0.78740157480314965" right="0.78740157480314965" top="0.59055118110236227" bottom="0.55118110236220474" header="0" footer="0.35433070866141736"/>
  <pageSetup paperSize="9" scale="77" fitToWidth="0" orientation="landscape" r:id="rId3"/>
  <headerFooter alignWithMargins="0">
    <oddFooter>&amp;C&amp;"굴림체,"&amp;9 - &amp;P -&amp;R&amp;"굴림체,"&amp;9 인천광역시 계양구청(건설과)</oddFooter>
  </headerFooter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30"/>
  <sheetViews>
    <sheetView view="pageBreakPreview" zoomScaleNormal="100" zoomScaleSheetLayoutView="100" workbookViewId="0">
      <pane ySplit="4" topLeftCell="A5" activePane="bottomLeft" state="frozenSplit"/>
      <selection activeCell="L29" sqref="L29"/>
      <selection pane="bottomLeft" activeCell="D31" sqref="D31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7" width="11.5" style="3" customWidth="1"/>
    <col min="8" max="8" width="10" style="3" customWidth="1"/>
    <col min="9" max="9" width="11.5" style="3" customWidth="1"/>
    <col min="10" max="10" width="10" style="3" customWidth="1"/>
    <col min="11" max="11" width="11.5" style="3" customWidth="1"/>
    <col min="12" max="12" width="10" style="3" customWidth="1"/>
    <col min="13" max="13" width="11.5" style="3" customWidth="1"/>
    <col min="14" max="14" width="10" style="3" customWidth="1"/>
    <col min="15" max="15" width="9.125" style="12" hidden="1" customWidth="1"/>
    <col min="16" max="28" width="2.125" style="3" customWidth="1"/>
    <col min="29" max="29" width="9.125" style="14" customWidth="1"/>
    <col min="30" max="16384" width="9.125" style="3"/>
  </cols>
  <sheetData>
    <row r="1" spans="1:29" ht="24.95" customHeight="1" x14ac:dyDescent="0.3">
      <c r="A1" s="108" t="s">
        <v>370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2" t="s">
        <v>102</v>
      </c>
      <c r="AC1" s="15" t="s">
        <v>102</v>
      </c>
    </row>
    <row r="2" spans="1:29" ht="30.6" customHeight="1" x14ac:dyDescent="0.3">
      <c r="A2" s="1"/>
      <c r="O2" s="17" t="str">
        <f ca="1">MID(CELL("filename",$A$1),FIND("]",CELL("filename",$A$1))+1,LEN(CELL("filename",$A$1)))</f>
        <v>설계내역서</v>
      </c>
    </row>
    <row r="3" spans="1:29" ht="30.6" customHeight="1" x14ac:dyDescent="0.3">
      <c r="A3" s="131" t="s">
        <v>371</v>
      </c>
      <c r="B3" s="131" t="s">
        <v>1</v>
      </c>
      <c r="C3" s="131" t="s">
        <v>2</v>
      </c>
      <c r="D3" s="131" t="s">
        <v>372</v>
      </c>
      <c r="E3" s="131" t="s">
        <v>3</v>
      </c>
      <c r="F3" s="112" t="s">
        <v>4</v>
      </c>
      <c r="G3" s="122"/>
      <c r="H3" s="112" t="s">
        <v>5</v>
      </c>
      <c r="I3" s="122"/>
      <c r="J3" s="112" t="s">
        <v>6</v>
      </c>
      <c r="K3" s="122"/>
      <c r="L3" s="112" t="s">
        <v>7</v>
      </c>
      <c r="M3" s="122"/>
      <c r="N3" s="112" t="s">
        <v>8</v>
      </c>
    </row>
    <row r="4" spans="1:29" ht="30.6" customHeight="1" x14ac:dyDescent="0.3">
      <c r="A4" s="122"/>
      <c r="B4" s="122"/>
      <c r="C4" s="122"/>
      <c r="D4" s="122"/>
      <c r="E4" s="122"/>
      <c r="F4" s="6" t="s">
        <v>203</v>
      </c>
      <c r="G4" s="6" t="s">
        <v>373</v>
      </c>
      <c r="H4" s="6" t="s">
        <v>203</v>
      </c>
      <c r="I4" s="6" t="s">
        <v>373</v>
      </c>
      <c r="J4" s="6" t="s">
        <v>203</v>
      </c>
      <c r="K4" s="6" t="s">
        <v>373</v>
      </c>
      <c r="L4" s="6" t="s">
        <v>203</v>
      </c>
      <c r="M4" s="6" t="s">
        <v>373</v>
      </c>
      <c r="N4" s="113"/>
      <c r="AC4" s="16" t="str">
        <f>HYPERLINK("#'〓 목 차 〓'!B2","목차 →")</f>
        <v>목차 →</v>
      </c>
    </row>
    <row r="5" spans="1:29" ht="30.6" customHeight="1" x14ac:dyDescent="0.3">
      <c r="A5" s="31" t="s">
        <v>376</v>
      </c>
      <c r="B5" s="31" t="s">
        <v>377</v>
      </c>
      <c r="C5" s="32"/>
      <c r="D5" s="83"/>
      <c r="E5" s="63"/>
      <c r="F5" s="84">
        <v>0</v>
      </c>
      <c r="G5" s="85">
        <f>SUMIF(Q6:Q20,SUBSTITUTE(P5,":C",""),G6:G20)</f>
        <v>0</v>
      </c>
      <c r="H5" s="84">
        <v>0</v>
      </c>
      <c r="I5" s="85">
        <f>SUMIF(Q6:Q20,SUBSTITUTE(P5,":C",""),I6:I20)</f>
        <v>0</v>
      </c>
      <c r="J5" s="84">
        <v>0</v>
      </c>
      <c r="K5" s="85">
        <f>SUMIF(Q6:Q20,SUBSTITUTE(P5,":C",""),K6:K20)</f>
        <v>0</v>
      </c>
      <c r="L5" s="86">
        <v>0</v>
      </c>
      <c r="M5" s="87">
        <f>SUMIF(Q6:Q20,SUBSTITUTE(P5,":C",""),M6:M20)</f>
        <v>0</v>
      </c>
      <c r="N5" s="63"/>
      <c r="O5" s="29" t="e">
        <f>"_x0007_`COD|E2_x0005_`QTY1|1_x0005_`EXI|0_x0005_`END|"&amp;ROW(#REF!)&amp;"_x0005_`"</f>
        <v>#REF!</v>
      </c>
      <c r="P5" s="4" t="s">
        <v>379</v>
      </c>
      <c r="Q5" s="4" t="s">
        <v>375</v>
      </c>
    </row>
    <row r="6" spans="1:29" ht="30.6" customHeight="1" x14ac:dyDescent="0.3">
      <c r="A6" s="128" t="s">
        <v>585</v>
      </c>
      <c r="B6" s="129"/>
      <c r="C6" s="130"/>
      <c r="D6" s="35"/>
      <c r="E6" s="18"/>
      <c r="F6" s="36"/>
      <c r="G6" s="36"/>
      <c r="H6" s="36"/>
      <c r="I6" s="36"/>
      <c r="J6" s="36"/>
      <c r="K6" s="42"/>
      <c r="L6" s="9">
        <v>0</v>
      </c>
      <c r="M6" s="43"/>
      <c r="N6" s="18"/>
      <c r="O6" s="13" t="s">
        <v>380</v>
      </c>
      <c r="P6" s="4" t="s">
        <v>378</v>
      </c>
      <c r="Q6" s="4" t="s">
        <v>379</v>
      </c>
    </row>
    <row r="7" spans="1:29" ht="30.6" customHeight="1" x14ac:dyDescent="0.3">
      <c r="A7" s="105" t="s">
        <v>584</v>
      </c>
      <c r="B7" s="105" t="s">
        <v>616</v>
      </c>
      <c r="C7" s="104" t="s">
        <v>613</v>
      </c>
      <c r="D7" s="35">
        <v>30</v>
      </c>
      <c r="E7" s="103" t="s">
        <v>48</v>
      </c>
      <c r="F7" s="37"/>
      <c r="G7" s="39"/>
      <c r="H7" s="37"/>
      <c r="I7" s="39"/>
      <c r="J7" s="41"/>
      <c r="K7" s="8"/>
      <c r="L7" s="41"/>
      <c r="M7" s="38"/>
      <c r="N7" s="103" t="s">
        <v>59</v>
      </c>
      <c r="O7" s="13"/>
      <c r="P7" s="4" t="s">
        <v>614</v>
      </c>
      <c r="Q7" s="4" t="s">
        <v>379</v>
      </c>
      <c r="AC7" s="102" t="e">
        <f>HYPERLINK("#"&amp;#REF!&amp;"!A"&amp;ROW(#REF!),"B07033 →")</f>
        <v>#REF!</v>
      </c>
    </row>
    <row r="8" spans="1:29" ht="30.6" customHeight="1" x14ac:dyDescent="0.3">
      <c r="A8" s="7"/>
      <c r="B8" s="105" t="s">
        <v>616</v>
      </c>
      <c r="C8" s="33" t="s">
        <v>67</v>
      </c>
      <c r="D8" s="35">
        <v>20</v>
      </c>
      <c r="E8" s="18" t="s">
        <v>48</v>
      </c>
      <c r="F8" s="37"/>
      <c r="G8" s="39"/>
      <c r="H8" s="37"/>
      <c r="I8" s="39"/>
      <c r="J8" s="41"/>
      <c r="K8" s="8"/>
      <c r="L8" s="41"/>
      <c r="M8" s="38"/>
      <c r="N8" s="18" t="s">
        <v>66</v>
      </c>
      <c r="O8" s="13" t="s">
        <v>382</v>
      </c>
      <c r="P8" s="4" t="s">
        <v>381</v>
      </c>
      <c r="Q8" s="4" t="s">
        <v>379</v>
      </c>
      <c r="AC8" s="16" t="e">
        <f>HYPERLINK("#"&amp;#REF!&amp;"!A"&amp;ROW(#REF!),"B07040 →")</f>
        <v>#REF!</v>
      </c>
    </row>
    <row r="9" spans="1:29" ht="30.6" customHeight="1" x14ac:dyDescent="0.3">
      <c r="A9" s="101"/>
      <c r="B9" s="105" t="s">
        <v>616</v>
      </c>
      <c r="C9" s="99" t="s">
        <v>610</v>
      </c>
      <c r="D9" s="35">
        <v>30</v>
      </c>
      <c r="E9" s="100" t="s">
        <v>48</v>
      </c>
      <c r="F9" s="37"/>
      <c r="G9" s="39"/>
      <c r="H9" s="37"/>
      <c r="I9" s="39"/>
      <c r="J9" s="41"/>
      <c r="K9" s="8"/>
      <c r="L9" s="41"/>
      <c r="M9" s="38"/>
      <c r="N9" s="100" t="s">
        <v>68</v>
      </c>
      <c r="O9" s="13"/>
      <c r="P9" s="4"/>
      <c r="Q9" s="4"/>
      <c r="AC9" s="102" t="e">
        <f>HYPERLINK("#"&amp;#REF!&amp;"!A"&amp;ROW(#REF!),"B07041 →")</f>
        <v>#REF!</v>
      </c>
    </row>
    <row r="10" spans="1:29" ht="30.6" customHeight="1" x14ac:dyDescent="0.3">
      <c r="A10" s="7"/>
      <c r="B10" s="105" t="s">
        <v>616</v>
      </c>
      <c r="C10" s="33" t="s">
        <v>611</v>
      </c>
      <c r="D10" s="35">
        <v>30</v>
      </c>
      <c r="E10" s="18" t="s">
        <v>48</v>
      </c>
      <c r="F10" s="37"/>
      <c r="G10" s="39"/>
      <c r="H10" s="37"/>
      <c r="I10" s="39"/>
      <c r="J10" s="41"/>
      <c r="K10" s="8"/>
      <c r="L10" s="41"/>
      <c r="M10" s="38"/>
      <c r="N10" s="18" t="s">
        <v>70</v>
      </c>
      <c r="O10" s="13" t="s">
        <v>384</v>
      </c>
      <c r="P10" s="4" t="s">
        <v>383</v>
      </c>
      <c r="Q10" s="4" t="s">
        <v>379</v>
      </c>
      <c r="AC10" s="16" t="e">
        <f>HYPERLINK("#"&amp;#REF!&amp;"!A"&amp;ROW(#REF!),"B07042 →")</f>
        <v>#REF!</v>
      </c>
    </row>
    <row r="11" spans="1:29" ht="30.6" customHeight="1" x14ac:dyDescent="0.3">
      <c r="A11" s="7"/>
      <c r="B11" s="7"/>
      <c r="C11" s="33"/>
      <c r="D11" s="34"/>
      <c r="E11" s="18"/>
      <c r="F11" s="36"/>
      <c r="G11" s="36"/>
      <c r="H11" s="36"/>
      <c r="I11" s="36"/>
      <c r="J11" s="36"/>
      <c r="K11" s="42"/>
      <c r="L11" s="9"/>
      <c r="M11" s="43"/>
      <c r="N11" s="18"/>
      <c r="O11" s="13" t="s">
        <v>380</v>
      </c>
      <c r="P11" s="4" t="s">
        <v>378</v>
      </c>
      <c r="Q11" s="4" t="s">
        <v>379</v>
      </c>
    </row>
    <row r="12" spans="1:29" ht="30.6" customHeight="1" x14ac:dyDescent="0.3">
      <c r="A12" s="7" t="s">
        <v>583</v>
      </c>
      <c r="B12" s="7" t="s">
        <v>601</v>
      </c>
      <c r="C12" s="33" t="s">
        <v>85</v>
      </c>
      <c r="D12" s="35">
        <v>20</v>
      </c>
      <c r="E12" s="18" t="s">
        <v>38</v>
      </c>
      <c r="F12" s="37"/>
      <c r="G12" s="39"/>
      <c r="H12" s="37"/>
      <c r="I12" s="39"/>
      <c r="J12" s="41"/>
      <c r="K12" s="8"/>
      <c r="L12" s="41"/>
      <c r="M12" s="38"/>
      <c r="N12" s="18" t="s">
        <v>88</v>
      </c>
      <c r="O12" s="13" t="s">
        <v>386</v>
      </c>
      <c r="P12" s="4" t="s">
        <v>385</v>
      </c>
      <c r="Q12" s="4" t="s">
        <v>379</v>
      </c>
      <c r="AC12" s="16" t="e">
        <f>HYPERLINK("#"&amp;#REF!&amp;"!A"&amp;ROW(#REF!),"B07083 →")</f>
        <v>#REF!</v>
      </c>
    </row>
    <row r="13" spans="1:29" ht="30.6" customHeight="1" x14ac:dyDescent="0.3">
      <c r="A13" s="7"/>
      <c r="B13" s="7" t="s">
        <v>601</v>
      </c>
      <c r="C13" s="33" t="s">
        <v>82</v>
      </c>
      <c r="D13" s="35">
        <v>20</v>
      </c>
      <c r="E13" s="18" t="s">
        <v>38</v>
      </c>
      <c r="F13" s="37"/>
      <c r="G13" s="39"/>
      <c r="H13" s="37"/>
      <c r="I13" s="39"/>
      <c r="J13" s="41"/>
      <c r="K13" s="8"/>
      <c r="L13" s="41"/>
      <c r="M13" s="38"/>
      <c r="N13" s="18" t="s">
        <v>89</v>
      </c>
      <c r="O13" s="13" t="s">
        <v>388</v>
      </c>
      <c r="P13" s="4" t="s">
        <v>387</v>
      </c>
      <c r="Q13" s="4" t="s">
        <v>379</v>
      </c>
      <c r="AC13" s="16" t="e">
        <f>HYPERLINK("#"&amp;#REF!&amp;"!A"&amp;ROW(#REF!),"B07084 →")</f>
        <v>#REF!</v>
      </c>
    </row>
    <row r="14" spans="1:29" ht="30.6" customHeight="1" x14ac:dyDescent="0.3">
      <c r="A14" s="7"/>
      <c r="B14" s="7" t="s">
        <v>601</v>
      </c>
      <c r="C14" s="33" t="s">
        <v>86</v>
      </c>
      <c r="D14" s="35">
        <v>20</v>
      </c>
      <c r="E14" s="18" t="s">
        <v>38</v>
      </c>
      <c r="F14" s="37"/>
      <c r="G14" s="39"/>
      <c r="H14" s="37"/>
      <c r="I14" s="39"/>
      <c r="J14" s="41"/>
      <c r="K14" s="8"/>
      <c r="L14" s="41"/>
      <c r="M14" s="38"/>
      <c r="N14" s="18" t="s">
        <v>90</v>
      </c>
      <c r="O14" s="13" t="s">
        <v>390</v>
      </c>
      <c r="P14" s="4" t="s">
        <v>389</v>
      </c>
      <c r="Q14" s="4" t="s">
        <v>379</v>
      </c>
      <c r="AC14" s="16" t="e">
        <f>HYPERLINK("#"&amp;#REF!&amp;"!A"&amp;ROW(#REF!),"B07085 →")</f>
        <v>#REF!</v>
      </c>
    </row>
    <row r="15" spans="1:29" ht="30.6" customHeight="1" x14ac:dyDescent="0.3">
      <c r="A15" s="7"/>
      <c r="B15" s="7" t="s">
        <v>601</v>
      </c>
      <c r="C15" s="33" t="s">
        <v>83</v>
      </c>
      <c r="D15" s="35">
        <v>20</v>
      </c>
      <c r="E15" s="18" t="s">
        <v>38</v>
      </c>
      <c r="F15" s="37"/>
      <c r="G15" s="39"/>
      <c r="H15" s="37"/>
      <c r="I15" s="39"/>
      <c r="J15" s="41"/>
      <c r="K15" s="8"/>
      <c r="L15" s="41"/>
      <c r="M15" s="38"/>
      <c r="N15" s="18" t="s">
        <v>91</v>
      </c>
      <c r="O15" s="13" t="s">
        <v>392</v>
      </c>
      <c r="P15" s="4" t="s">
        <v>391</v>
      </c>
      <c r="Q15" s="4" t="s">
        <v>379</v>
      </c>
      <c r="AC15" s="16" t="e">
        <f>HYPERLINK("#"&amp;#REF!&amp;"!A"&amp;ROW(#REF!),"B07086 →")</f>
        <v>#REF!</v>
      </c>
    </row>
    <row r="16" spans="1:29" ht="30.6" customHeight="1" x14ac:dyDescent="0.3">
      <c r="A16" s="7"/>
      <c r="B16" s="7" t="s">
        <v>601</v>
      </c>
      <c r="C16" s="33" t="s">
        <v>87</v>
      </c>
      <c r="D16" s="35">
        <v>20</v>
      </c>
      <c r="E16" s="18" t="s">
        <v>38</v>
      </c>
      <c r="F16" s="37"/>
      <c r="G16" s="39"/>
      <c r="H16" s="37"/>
      <c r="I16" s="39"/>
      <c r="J16" s="41"/>
      <c r="K16" s="8"/>
      <c r="L16" s="41"/>
      <c r="M16" s="38"/>
      <c r="N16" s="18" t="s">
        <v>92</v>
      </c>
      <c r="O16" s="13" t="s">
        <v>394</v>
      </c>
      <c r="P16" s="4" t="s">
        <v>393</v>
      </c>
      <c r="Q16" s="4" t="s">
        <v>379</v>
      </c>
      <c r="AC16" s="16" t="e">
        <f>HYPERLINK("#"&amp;#REF!&amp;"!A"&amp;ROW(#REF!),"B07087 →")</f>
        <v>#REF!</v>
      </c>
    </row>
    <row r="17" spans="1:29" ht="30.6" customHeight="1" x14ac:dyDescent="0.3">
      <c r="A17" s="7"/>
      <c r="B17" s="7" t="s">
        <v>601</v>
      </c>
      <c r="C17" s="33" t="s">
        <v>84</v>
      </c>
      <c r="D17" s="35">
        <v>20</v>
      </c>
      <c r="E17" s="18" t="s">
        <v>38</v>
      </c>
      <c r="F17" s="37"/>
      <c r="G17" s="39"/>
      <c r="H17" s="37"/>
      <c r="I17" s="39"/>
      <c r="J17" s="41"/>
      <c r="K17" s="8"/>
      <c r="L17" s="41"/>
      <c r="M17" s="38"/>
      <c r="N17" s="18" t="s">
        <v>93</v>
      </c>
      <c r="O17" s="13" t="s">
        <v>396</v>
      </c>
      <c r="P17" s="4" t="s">
        <v>395</v>
      </c>
      <c r="Q17" s="4" t="s">
        <v>379</v>
      </c>
      <c r="AC17" s="16" t="e">
        <f>HYPERLINK("#"&amp;#REF!&amp;"!A"&amp;ROW(#REF!),"B07088 →")</f>
        <v>#REF!</v>
      </c>
    </row>
    <row r="18" spans="1:29" ht="30.6" customHeight="1" x14ac:dyDescent="0.3">
      <c r="A18" s="7"/>
      <c r="B18" s="7"/>
      <c r="C18" s="33"/>
      <c r="D18" s="34"/>
      <c r="E18" s="18"/>
      <c r="F18" s="36"/>
      <c r="G18" s="36"/>
      <c r="H18" s="36"/>
      <c r="I18" s="36"/>
      <c r="J18" s="36"/>
      <c r="K18" s="42"/>
      <c r="L18" s="9"/>
      <c r="M18" s="43"/>
      <c r="N18" s="18"/>
      <c r="O18" s="13" t="s">
        <v>380</v>
      </c>
      <c r="P18" s="4" t="s">
        <v>378</v>
      </c>
      <c r="Q18" s="4" t="s">
        <v>379</v>
      </c>
    </row>
    <row r="19" spans="1:29" ht="30.6" customHeight="1" x14ac:dyDescent="0.3">
      <c r="A19" s="7" t="s">
        <v>597</v>
      </c>
      <c r="B19" s="7" t="s">
        <v>26</v>
      </c>
      <c r="C19" s="33" t="s">
        <v>27</v>
      </c>
      <c r="D19" s="35">
        <v>10</v>
      </c>
      <c r="E19" s="18" t="s">
        <v>28</v>
      </c>
      <c r="F19" s="37"/>
      <c r="G19" s="39"/>
      <c r="H19" s="37"/>
      <c r="I19" s="39"/>
      <c r="J19" s="41"/>
      <c r="K19" s="8"/>
      <c r="L19" s="41"/>
      <c r="M19" s="38"/>
      <c r="N19" s="18" t="s">
        <v>25</v>
      </c>
      <c r="O19" s="13" t="s">
        <v>398</v>
      </c>
      <c r="P19" s="4" t="s">
        <v>397</v>
      </c>
      <c r="Q19" s="4" t="s">
        <v>379</v>
      </c>
      <c r="AC19" s="16" t="e">
        <f>HYPERLINK("#"&amp;#REF!&amp;"!A"&amp;ROW(#REF!),"B07011 →")</f>
        <v>#REF!</v>
      </c>
    </row>
    <row r="20" spans="1:29" ht="30.6" customHeight="1" x14ac:dyDescent="0.3">
      <c r="A20" s="7"/>
      <c r="B20" s="7"/>
      <c r="C20" s="33"/>
      <c r="D20" s="34"/>
      <c r="E20" s="18"/>
      <c r="F20" s="36"/>
      <c r="G20" s="36"/>
      <c r="H20" s="36"/>
      <c r="I20" s="36"/>
      <c r="J20" s="36"/>
      <c r="K20" s="42"/>
      <c r="L20" s="9">
        <v>0</v>
      </c>
      <c r="M20" s="43"/>
      <c r="N20" s="18"/>
      <c r="O20" s="13" t="s">
        <v>380</v>
      </c>
      <c r="P20" s="4" t="s">
        <v>378</v>
      </c>
      <c r="Q20" s="4" t="s">
        <v>379</v>
      </c>
    </row>
    <row r="21" spans="1:29" ht="30.6" hidden="1" customHeight="1" x14ac:dyDescent="0.3">
      <c r="A21" s="31" t="s">
        <v>376</v>
      </c>
      <c r="B21" s="31" t="s">
        <v>598</v>
      </c>
      <c r="C21" s="32"/>
      <c r="D21" s="83"/>
      <c r="E21" s="63"/>
      <c r="F21" s="84">
        <v>0</v>
      </c>
      <c r="G21" s="85" t="e">
        <f>SUMIF(Q22:Q53,SUBSTITUTE(P21,":C",""),G22:G53)</f>
        <v>#REF!</v>
      </c>
      <c r="H21" s="84">
        <v>0</v>
      </c>
      <c r="I21" s="85" t="e">
        <f>SUMIF(Q22:Q53,SUBSTITUTE(P21,":C",""),I22:I53)</f>
        <v>#REF!</v>
      </c>
      <c r="J21" s="84">
        <v>0</v>
      </c>
      <c r="K21" s="85"/>
      <c r="L21" s="86">
        <v>0</v>
      </c>
      <c r="M21" s="87" t="e">
        <f>M23+M24+M25+M26</f>
        <v>#REF!</v>
      </c>
      <c r="N21" s="63"/>
      <c r="O21" s="13"/>
      <c r="P21" s="4"/>
      <c r="Q21" s="4"/>
    </row>
    <row r="22" spans="1:29" ht="30.6" hidden="1" customHeight="1" x14ac:dyDescent="0.3">
      <c r="A22" s="128" t="s">
        <v>599</v>
      </c>
      <c r="B22" s="129"/>
      <c r="C22" s="130"/>
      <c r="D22" s="34"/>
      <c r="E22" s="81"/>
      <c r="F22" s="36"/>
      <c r="G22" s="36"/>
      <c r="H22" s="36"/>
      <c r="I22" s="36"/>
      <c r="J22" s="36"/>
      <c r="K22" s="42"/>
      <c r="L22" s="9">
        <v>0</v>
      </c>
      <c r="M22" s="88"/>
      <c r="N22" s="81"/>
    </row>
    <row r="23" spans="1:29" ht="30.6" hidden="1" customHeight="1" x14ac:dyDescent="0.3">
      <c r="A23" s="82" t="s">
        <v>584</v>
      </c>
      <c r="B23" s="82" t="s">
        <v>586</v>
      </c>
      <c r="C23" s="80" t="s">
        <v>587</v>
      </c>
      <c r="D23" s="35" t="e">
        <f>TRUNC(#REF!,0)</f>
        <v>#REF!</v>
      </c>
      <c r="E23" s="81" t="s">
        <v>588</v>
      </c>
      <c r="F23" s="37" t="e">
        <f>#REF!</f>
        <v>#REF!</v>
      </c>
      <c r="G23" s="39" t="e">
        <f>ROUNDDOWN(F23*D23,0)</f>
        <v>#REF!</v>
      </c>
      <c r="H23" s="37" t="e">
        <f>#REF!</f>
        <v>#REF!</v>
      </c>
      <c r="I23" s="39" t="e">
        <f>ROUNDDOWN(H23*D23,0)</f>
        <v>#REF!</v>
      </c>
      <c r="J23" s="41" t="e">
        <f>#REF!</f>
        <v>#REF!</v>
      </c>
      <c r="K23" s="8" t="e">
        <f>ROUNDDOWN(J23*D23,0)</f>
        <v>#REF!</v>
      </c>
      <c r="L23" s="41" t="e">
        <f t="shared" ref="L23:M26" si="0">F23+H23+J23</f>
        <v>#REF!</v>
      </c>
      <c r="M23" s="38" t="e">
        <f t="shared" si="0"/>
        <v>#REF!</v>
      </c>
      <c r="N23" s="81"/>
    </row>
    <row r="24" spans="1:29" ht="30.6" hidden="1" customHeight="1" x14ac:dyDescent="0.3">
      <c r="A24" s="82"/>
      <c r="B24" s="82" t="s">
        <v>586</v>
      </c>
      <c r="C24" s="80" t="s">
        <v>589</v>
      </c>
      <c r="D24" s="35" t="e">
        <f>TRUNC(#REF!,0)</f>
        <v>#REF!</v>
      </c>
      <c r="E24" s="81" t="s">
        <v>588</v>
      </c>
      <c r="F24" s="37" t="e">
        <f>#REF!</f>
        <v>#REF!</v>
      </c>
      <c r="G24" s="39" t="e">
        <f>ROUNDDOWN(F24*D24,0)</f>
        <v>#REF!</v>
      </c>
      <c r="H24" s="37" t="e">
        <f>#REF!</f>
        <v>#REF!</v>
      </c>
      <c r="I24" s="39" t="e">
        <f>ROUNDDOWN(H24*D24,0)</f>
        <v>#REF!</v>
      </c>
      <c r="J24" s="41" t="e">
        <f>#REF!</f>
        <v>#REF!</v>
      </c>
      <c r="K24" s="8" t="e">
        <f>ROUNDDOWN(J24*D24,0)</f>
        <v>#REF!</v>
      </c>
      <c r="L24" s="41" t="e">
        <f t="shared" si="0"/>
        <v>#REF!</v>
      </c>
      <c r="M24" s="38" t="e">
        <f t="shared" si="0"/>
        <v>#REF!</v>
      </c>
      <c r="N24" s="81"/>
    </row>
    <row r="25" spans="1:29" ht="30.6" hidden="1" customHeight="1" x14ac:dyDescent="0.3">
      <c r="A25" s="82"/>
      <c r="B25" s="82" t="s">
        <v>590</v>
      </c>
      <c r="C25" s="80" t="s">
        <v>591</v>
      </c>
      <c r="D25" s="35" t="e">
        <f>D23+D24</f>
        <v>#REF!</v>
      </c>
      <c r="E25" s="81" t="s">
        <v>588</v>
      </c>
      <c r="F25" s="37" t="e">
        <f>#REF!</f>
        <v>#REF!</v>
      </c>
      <c r="G25" s="39" t="e">
        <f>ROUNDDOWN(F25*D25,0)</f>
        <v>#REF!</v>
      </c>
      <c r="H25" s="37" t="e">
        <f>#REF!</f>
        <v>#REF!</v>
      </c>
      <c r="I25" s="39" t="e">
        <f>ROUNDDOWN(H25*D25,0)</f>
        <v>#REF!</v>
      </c>
      <c r="J25" s="41" t="e">
        <f>#REF!</f>
        <v>#REF!</v>
      </c>
      <c r="K25" s="8" t="e">
        <f>ROUNDDOWN(J25*D25,0)</f>
        <v>#REF!</v>
      </c>
      <c r="L25" s="41" t="e">
        <f t="shared" si="0"/>
        <v>#REF!</v>
      </c>
      <c r="M25" s="38" t="e">
        <f t="shared" si="0"/>
        <v>#REF!</v>
      </c>
      <c r="N25" s="81"/>
    </row>
    <row r="26" spans="1:29" ht="30.6" hidden="1" customHeight="1" x14ac:dyDescent="0.3">
      <c r="A26" s="92"/>
      <c r="B26" s="92" t="s">
        <v>594</v>
      </c>
      <c r="C26" s="91"/>
      <c r="D26" s="34" t="s">
        <v>595</v>
      </c>
      <c r="E26" s="90" t="s">
        <v>596</v>
      </c>
      <c r="F26" s="36"/>
      <c r="G26" s="36"/>
      <c r="H26" s="36"/>
      <c r="I26" s="36"/>
      <c r="J26" s="35">
        <v>-699</v>
      </c>
      <c r="K26" s="8">
        <f>ROUNDDOWN(J26*D26,0)</f>
        <v>-699</v>
      </c>
      <c r="L26" s="41">
        <f t="shared" si="0"/>
        <v>-699</v>
      </c>
      <c r="M26" s="38">
        <f t="shared" si="0"/>
        <v>-699</v>
      </c>
      <c r="N26" s="90"/>
    </row>
    <row r="27" spans="1:29" ht="30.6" hidden="1" customHeight="1" x14ac:dyDescent="0.3">
      <c r="A27" s="96"/>
      <c r="B27" s="96"/>
      <c r="C27" s="95"/>
      <c r="D27" s="34"/>
      <c r="E27" s="94"/>
      <c r="F27" s="36"/>
      <c r="G27" s="36"/>
      <c r="H27" s="36"/>
      <c r="I27" s="36"/>
      <c r="J27" s="35"/>
      <c r="K27" s="8"/>
      <c r="L27" s="41"/>
      <c r="M27" s="38"/>
      <c r="N27" s="94"/>
    </row>
    <row r="28" spans="1:29" ht="30.6" customHeight="1" x14ac:dyDescent="0.3">
      <c r="A28" s="31" t="s">
        <v>376</v>
      </c>
      <c r="B28" s="31" t="s">
        <v>602</v>
      </c>
      <c r="C28" s="80"/>
      <c r="D28" s="34"/>
      <c r="E28" s="81"/>
      <c r="F28" s="36"/>
      <c r="G28" s="36"/>
      <c r="H28" s="36"/>
      <c r="I28" s="36"/>
      <c r="J28" s="35"/>
      <c r="K28" s="8"/>
      <c r="L28" s="41"/>
      <c r="M28" s="85"/>
      <c r="N28" s="81"/>
    </row>
    <row r="29" spans="1:29" ht="30.6" customHeight="1" x14ac:dyDescent="0.3">
      <c r="A29" s="92" t="s">
        <v>584</v>
      </c>
      <c r="B29" s="82" t="s">
        <v>602</v>
      </c>
      <c r="C29" s="80"/>
      <c r="D29" s="35">
        <v>233</v>
      </c>
      <c r="E29" s="81" t="s">
        <v>603</v>
      </c>
      <c r="F29" s="36"/>
      <c r="G29" s="36"/>
      <c r="H29" s="36"/>
      <c r="I29" s="36"/>
      <c r="J29" s="35"/>
      <c r="K29" s="8"/>
      <c r="L29" s="41"/>
      <c r="M29" s="38"/>
      <c r="N29" s="81"/>
    </row>
    <row r="30" spans="1:29" ht="30.6" hidden="1" customHeight="1" x14ac:dyDescent="0.3">
      <c r="A30" s="82"/>
      <c r="B30" s="92" t="s">
        <v>594</v>
      </c>
      <c r="C30" s="91"/>
      <c r="D30" s="34" t="s">
        <v>595</v>
      </c>
      <c r="E30" s="90" t="s">
        <v>596</v>
      </c>
      <c r="F30" s="36"/>
      <c r="G30" s="36"/>
      <c r="H30" s="36"/>
      <c r="I30" s="36"/>
      <c r="J30" s="35"/>
      <c r="K30" s="8"/>
      <c r="L30" s="41"/>
      <c r="M30" s="38"/>
      <c r="N30" s="81"/>
    </row>
  </sheetData>
  <mergeCells count="13">
    <mergeCell ref="A6:C6"/>
    <mergeCell ref="A22:C22"/>
    <mergeCell ref="L3:M3"/>
    <mergeCell ref="N3:N4"/>
    <mergeCell ref="A1:N1"/>
    <mergeCell ref="A3:A4"/>
    <mergeCell ref="B3:B4"/>
    <mergeCell ref="C3:C4"/>
    <mergeCell ref="D3:D4"/>
    <mergeCell ref="E3:E4"/>
    <mergeCell ref="F3:G3"/>
    <mergeCell ref="H3:I3"/>
    <mergeCell ref="J3:K3"/>
  </mergeCells>
  <phoneticPr fontId="12" type="noConversion"/>
  <conditionalFormatting sqref="D5:D20 F5:N20">
    <cfRule type="expression" dxfId="13" priority="15" stopIfTrue="1">
      <formula>AND(D5&lt;&gt;0,INT(D5)=D5)</formula>
    </cfRule>
  </conditionalFormatting>
  <conditionalFormatting sqref="F22:N22 D22 D28 F28:I29 N23:N30">
    <cfRule type="expression" dxfId="12" priority="14" stopIfTrue="1">
      <formula>AND(D22&lt;&gt;0,INT(D22)=D22)</formula>
    </cfRule>
  </conditionalFormatting>
  <conditionalFormatting sqref="D23:D25">
    <cfRule type="expression" dxfId="11" priority="12" stopIfTrue="1">
      <formula>AND(D23&lt;&gt;0,INT(D23)=D23)</formula>
    </cfRule>
  </conditionalFormatting>
  <conditionalFormatting sqref="F23:I25">
    <cfRule type="expression" dxfId="10" priority="13" stopIfTrue="1">
      <formula>AND(F23&lt;&gt;0,INT(F23)=F23)</formula>
    </cfRule>
  </conditionalFormatting>
  <conditionalFormatting sqref="J23:M25 K28:M29">
    <cfRule type="expression" dxfId="9" priority="11" stopIfTrue="1">
      <formula>AND(J23&lt;&gt;0,INT(J23)=J23)</formula>
    </cfRule>
  </conditionalFormatting>
  <conditionalFormatting sqref="J28:J29">
    <cfRule type="expression" dxfId="8" priority="10" stopIfTrue="1">
      <formula>AND(J28&lt;&gt;0,INT(J28)=J28)</formula>
    </cfRule>
  </conditionalFormatting>
  <conditionalFormatting sqref="F21:N21 D21">
    <cfRule type="expression" dxfId="7" priority="9" stopIfTrue="1">
      <formula>AND(D21&lt;&gt;0,INT(D21)=D21)</formula>
    </cfRule>
  </conditionalFormatting>
  <conditionalFormatting sqref="J30">
    <cfRule type="expression" dxfId="6" priority="6" stopIfTrue="1">
      <formula>AND(J30&lt;&gt;0,INT(J30)=J30)</formula>
    </cfRule>
  </conditionalFormatting>
  <conditionalFormatting sqref="D30 F30:I30">
    <cfRule type="expression" dxfId="5" priority="8" stopIfTrue="1">
      <formula>AND(D30&lt;&gt;0,INT(D30)=D30)</formula>
    </cfRule>
  </conditionalFormatting>
  <conditionalFormatting sqref="K30:M30">
    <cfRule type="expression" dxfId="4" priority="7" stopIfTrue="1">
      <formula>AND(K30&lt;&gt;0,INT(K30)=K30)</formula>
    </cfRule>
  </conditionalFormatting>
  <conditionalFormatting sqref="J26:J27">
    <cfRule type="expression" dxfId="3" priority="3" stopIfTrue="1">
      <formula>AND(J26&lt;&gt;0,INT(J26)=J26)</formula>
    </cfRule>
  </conditionalFormatting>
  <conditionalFormatting sqref="D26:D27 F26:I27">
    <cfRule type="expression" dxfId="2" priority="5" stopIfTrue="1">
      <formula>AND(D26&lt;&gt;0,INT(D26)=D26)</formula>
    </cfRule>
  </conditionalFormatting>
  <conditionalFormatting sqref="K26:M27">
    <cfRule type="expression" dxfId="1" priority="4" stopIfTrue="1">
      <formula>AND(K26&lt;&gt;0,INT(K26)=K26)</formula>
    </cfRule>
  </conditionalFormatting>
  <conditionalFormatting sqref="D29">
    <cfRule type="expression" dxfId="0" priority="2" stopIfTrue="1">
      <formula>AND(D29&lt;&gt;0,INT(D29)=D29)</formula>
    </cfRule>
  </conditionalFormatting>
  <hyperlinks>
    <hyperlink ref="AC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200-000000000000}"/>
    <hyperlink ref="O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200-000001000000}"/>
  </hyperlinks>
  <printOptions horizontalCentered="1"/>
  <pageMargins left="0.78740157480314965" right="0.78740157480314965" top="0.59055118110236215" bottom="0.59055118110236215" header="0" footer="0.39370078740157477"/>
  <pageSetup paperSize="9" scale="69" fitToHeight="0" orientation="landscape" r:id="rId3"/>
  <headerFooter alignWithMargins="0">
    <oddFooter>&amp;C&amp;"굴림체,"&amp;9 - &amp;P -&amp;R&amp;"굴림체,"&amp;9 인천광역시 계양구청(건설과)</oddFooter>
  </headerFooter>
  <rowBreaks count="1" manualBreakCount="1">
    <brk id="29" max="13" man="1"/>
  </rowBreaks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40"/>
  <sheetViews>
    <sheetView view="pageBreakPreview" zoomScaleNormal="100" zoomScaleSheetLayoutView="100" workbookViewId="0">
      <pane ySplit="3" topLeftCell="A7" activePane="bottomLeft" state="frozenSplit"/>
      <selection activeCell="C8" sqref="C8"/>
      <selection pane="bottomLeft" activeCell="I4" sqref="I4:I38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9" width="13" style="3" customWidth="1"/>
    <col min="10" max="10" width="10" style="3" customWidth="1"/>
    <col min="11" max="11" width="9.125" style="3" hidden="1" customWidth="1"/>
    <col min="12" max="12" width="9.125" style="14" customWidth="1"/>
    <col min="13" max="16384" width="9.125" style="3"/>
  </cols>
  <sheetData>
    <row r="1" spans="1:12" ht="24.95" customHeight="1" x14ac:dyDescent="0.3">
      <c r="A1" s="108" t="s">
        <v>101</v>
      </c>
      <c r="B1" s="109"/>
      <c r="C1" s="109"/>
      <c r="D1" s="109"/>
      <c r="E1" s="109"/>
      <c r="F1" s="109"/>
      <c r="G1" s="109"/>
      <c r="H1" s="109"/>
      <c r="I1" s="109"/>
      <c r="J1" s="109"/>
      <c r="K1" s="2" t="s">
        <v>102</v>
      </c>
      <c r="L1" s="15" t="s">
        <v>102</v>
      </c>
    </row>
    <row r="2" spans="1:12" ht="24.95" customHeight="1" x14ac:dyDescent="0.3">
      <c r="A2" s="1"/>
      <c r="K2" s="17" t="str">
        <f ca="1">MID(CELL("filename",$A$1),FIND("]",CELL("filename",$A$1))+1,LEN(CELL("filename",$A$1)))</f>
        <v>일위대가수량금액집계표</v>
      </c>
    </row>
    <row r="3" spans="1:12" ht="24.95" customHeight="1" x14ac:dyDescent="0.3">
      <c r="A3" s="5" t="s">
        <v>0</v>
      </c>
      <c r="B3" s="5" t="s">
        <v>1</v>
      </c>
      <c r="C3" s="5" t="s">
        <v>2</v>
      </c>
      <c r="D3" s="5" t="s">
        <v>372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10" t="s">
        <v>8</v>
      </c>
      <c r="L3" s="16" t="str">
        <f>HYPERLINK("#'〓 목 차 〓'!B2","목차 →")</f>
        <v>목차 →</v>
      </c>
    </row>
    <row r="4" spans="1:12" ht="24.95" customHeight="1" x14ac:dyDescent="0.3">
      <c r="A4" s="6" t="s">
        <v>9</v>
      </c>
      <c r="B4" s="7" t="s">
        <v>10</v>
      </c>
      <c r="C4" s="7" t="s">
        <v>11</v>
      </c>
      <c r="D4" s="64">
        <v>9.4</v>
      </c>
      <c r="E4" s="26" t="s">
        <v>12</v>
      </c>
      <c r="F4" s="38" t="e">
        <f>ROUND(D4*#REF!,0)</f>
        <v>#REF!</v>
      </c>
      <c r="G4" s="38" t="e">
        <f>ROUND(D4*#REF!,0)</f>
        <v>#REF!</v>
      </c>
      <c r="H4" s="38" t="e">
        <f>ROUND(D4*#REF!,0)</f>
        <v>#REF!</v>
      </c>
      <c r="I4" s="44" t="e">
        <f t="shared" ref="I4:I21" si="0">F4+G4+H4</f>
        <v>#REF!</v>
      </c>
      <c r="J4" s="11"/>
      <c r="L4" s="16" t="e">
        <f>HYPERLINK("#"&amp;#REF!&amp;"!A"&amp;ROW(#REF!),"B07007 →")</f>
        <v>#REF!</v>
      </c>
    </row>
    <row r="5" spans="1:12" ht="24.95" customHeight="1" x14ac:dyDescent="0.3">
      <c r="A5" s="6" t="s">
        <v>13</v>
      </c>
      <c r="B5" s="7" t="s">
        <v>14</v>
      </c>
      <c r="C5" s="7" t="s">
        <v>15</v>
      </c>
      <c r="D5" s="64">
        <v>57.94</v>
      </c>
      <c r="E5" s="26" t="s">
        <v>16</v>
      </c>
      <c r="F5" s="38" t="e">
        <f>ROUND(D5*#REF!,0)</f>
        <v>#REF!</v>
      </c>
      <c r="G5" s="38" t="e">
        <f>ROUND(D5*#REF!,0)</f>
        <v>#REF!</v>
      </c>
      <c r="H5" s="38" t="e">
        <f>ROUND(D5*#REF!,0)</f>
        <v>#REF!</v>
      </c>
      <c r="I5" s="44" t="e">
        <f t="shared" si="0"/>
        <v>#REF!</v>
      </c>
      <c r="J5" s="11"/>
      <c r="L5" s="16" t="e">
        <f>HYPERLINK("#"&amp;#REF!&amp;"!A"&amp;ROW(#REF!),"B07008 →")</f>
        <v>#REF!</v>
      </c>
    </row>
    <row r="6" spans="1:12" ht="24.95" customHeight="1" x14ac:dyDescent="0.3">
      <c r="A6" s="6" t="s">
        <v>17</v>
      </c>
      <c r="B6" s="7" t="s">
        <v>18</v>
      </c>
      <c r="C6" s="7" t="s">
        <v>19</v>
      </c>
      <c r="D6" s="64">
        <v>80.13</v>
      </c>
      <c r="E6" s="26" t="s">
        <v>20</v>
      </c>
      <c r="F6" s="38" t="e">
        <f>ROUND(D6*#REF!,0)</f>
        <v>#REF!</v>
      </c>
      <c r="G6" s="38" t="e">
        <f>ROUND(D6*#REF!,0)</f>
        <v>#REF!</v>
      </c>
      <c r="H6" s="38" t="e">
        <f>ROUND(D6*#REF!,0)</f>
        <v>#REF!</v>
      </c>
      <c r="I6" s="44" t="e">
        <f t="shared" si="0"/>
        <v>#REF!</v>
      </c>
      <c r="J6" s="11"/>
      <c r="L6" s="16" t="e">
        <f>HYPERLINK("#"&amp;#REF!&amp;"!A"&amp;ROW(#REF!),"B07009 →")</f>
        <v>#REF!</v>
      </c>
    </row>
    <row r="7" spans="1:12" ht="24.95" customHeight="1" x14ac:dyDescent="0.3">
      <c r="A7" s="6" t="s">
        <v>21</v>
      </c>
      <c r="B7" s="7" t="s">
        <v>22</v>
      </c>
      <c r="C7" s="7" t="s">
        <v>23</v>
      </c>
      <c r="D7" s="64">
        <v>10.16</v>
      </c>
      <c r="E7" s="26" t="s">
        <v>24</v>
      </c>
      <c r="F7" s="38" t="e">
        <f>ROUND(D7*#REF!,0)</f>
        <v>#REF!</v>
      </c>
      <c r="G7" s="38" t="e">
        <f>ROUND(D7*#REF!,0)</f>
        <v>#REF!</v>
      </c>
      <c r="H7" s="38" t="e">
        <f>ROUND(D7*#REF!,0)</f>
        <v>#REF!</v>
      </c>
      <c r="I7" s="44" t="e">
        <f t="shared" si="0"/>
        <v>#REF!</v>
      </c>
      <c r="J7" s="11"/>
      <c r="L7" s="16" t="e">
        <f>HYPERLINK("#"&amp;#REF!&amp;"!A"&amp;ROW(#REF!),"B07010 →")</f>
        <v>#REF!</v>
      </c>
    </row>
    <row r="8" spans="1:12" ht="24.95" customHeight="1" x14ac:dyDescent="0.3">
      <c r="A8" s="6" t="s">
        <v>25</v>
      </c>
      <c r="B8" s="7" t="s">
        <v>26</v>
      </c>
      <c r="C8" s="7" t="s">
        <v>27</v>
      </c>
      <c r="D8" s="64">
        <v>5</v>
      </c>
      <c r="E8" s="26" t="s">
        <v>28</v>
      </c>
      <c r="F8" s="38" t="e">
        <f>ROUND(D8*#REF!,0)</f>
        <v>#REF!</v>
      </c>
      <c r="G8" s="38" t="e">
        <f>ROUND(D8*#REF!,0)</f>
        <v>#REF!</v>
      </c>
      <c r="H8" s="38" t="e">
        <f>ROUND(D8*#REF!,0)</f>
        <v>#REF!</v>
      </c>
      <c r="I8" s="44" t="e">
        <f t="shared" si="0"/>
        <v>#REF!</v>
      </c>
      <c r="J8" s="11"/>
      <c r="L8" s="16" t="e">
        <f>HYPERLINK("#"&amp;#REF!&amp;"!A"&amp;ROW(#REF!),"B07011 →")</f>
        <v>#REF!</v>
      </c>
    </row>
    <row r="9" spans="1:12" ht="24.95" customHeight="1" x14ac:dyDescent="0.3">
      <c r="A9" s="6" t="s">
        <v>29</v>
      </c>
      <c r="B9" s="7" t="s">
        <v>30</v>
      </c>
      <c r="C9" s="7" t="s">
        <v>31</v>
      </c>
      <c r="D9" s="64">
        <v>28.11</v>
      </c>
      <c r="E9" s="26" t="s">
        <v>24</v>
      </c>
      <c r="F9" s="38" t="e">
        <f>ROUND(D9*#REF!,0)</f>
        <v>#REF!</v>
      </c>
      <c r="G9" s="38" t="e">
        <f>ROUND(D9*#REF!,0)</f>
        <v>#REF!</v>
      </c>
      <c r="H9" s="38" t="e">
        <f>ROUND(D9*#REF!,0)</f>
        <v>#REF!</v>
      </c>
      <c r="I9" s="44" t="e">
        <f t="shared" si="0"/>
        <v>#REF!</v>
      </c>
      <c r="J9" s="11"/>
      <c r="L9" s="16" t="e">
        <f>HYPERLINK("#"&amp;#REF!&amp;"!A"&amp;ROW(#REF!),"B07012 →")</f>
        <v>#REF!</v>
      </c>
    </row>
    <row r="10" spans="1:12" ht="24.95" customHeight="1" x14ac:dyDescent="0.3">
      <c r="A10" s="6" t="s">
        <v>32</v>
      </c>
      <c r="B10" s="7" t="s">
        <v>33</v>
      </c>
      <c r="C10" s="7" t="s">
        <v>34</v>
      </c>
      <c r="D10" s="64">
        <v>160.4</v>
      </c>
      <c r="E10" s="26" t="s">
        <v>35</v>
      </c>
      <c r="F10" s="38" t="e">
        <f>ROUND(D10*#REF!,0)</f>
        <v>#REF!</v>
      </c>
      <c r="G10" s="38" t="e">
        <f>ROUND(D10*#REF!,0)</f>
        <v>#REF!</v>
      </c>
      <c r="H10" s="38" t="e">
        <f>ROUND(D10*#REF!,0)</f>
        <v>#REF!</v>
      </c>
      <c r="I10" s="44" t="e">
        <f t="shared" si="0"/>
        <v>#REF!</v>
      </c>
      <c r="J10" s="11"/>
      <c r="L10" s="16" t="e">
        <f>HYPERLINK("#"&amp;#REF!&amp;"!A"&amp;ROW(#REF!),"B07013 →")</f>
        <v>#REF!</v>
      </c>
    </row>
    <row r="11" spans="1:12" ht="24.95" customHeight="1" x14ac:dyDescent="0.3">
      <c r="A11" s="6" t="s">
        <v>36</v>
      </c>
      <c r="B11" s="7" t="s">
        <v>33</v>
      </c>
      <c r="C11" s="7" t="s">
        <v>37</v>
      </c>
      <c r="D11" s="64">
        <v>422.1</v>
      </c>
      <c r="E11" s="26" t="s">
        <v>35</v>
      </c>
      <c r="F11" s="38" t="e">
        <f>ROUND(D11*#REF!,0)</f>
        <v>#REF!</v>
      </c>
      <c r="G11" s="38" t="e">
        <f>ROUND(D11*#REF!,0)</f>
        <v>#REF!</v>
      </c>
      <c r="H11" s="38" t="e">
        <f>ROUND(D11*#REF!,0)</f>
        <v>#REF!</v>
      </c>
      <c r="I11" s="44" t="e">
        <f t="shared" si="0"/>
        <v>#REF!</v>
      </c>
      <c r="J11" s="11"/>
      <c r="L11" s="16" t="e">
        <f>HYPERLINK("#"&amp;#REF!&amp;"!A"&amp;ROW(#REF!),"B07014 →")</f>
        <v>#REF!</v>
      </c>
    </row>
    <row r="12" spans="1:12" ht="24.95" customHeight="1" x14ac:dyDescent="0.3">
      <c r="A12" s="6" t="s">
        <v>39</v>
      </c>
      <c r="B12" s="7" t="s">
        <v>33</v>
      </c>
      <c r="C12" s="7" t="s">
        <v>40</v>
      </c>
      <c r="D12" s="64">
        <v>422.1</v>
      </c>
      <c r="E12" s="26" t="s">
        <v>35</v>
      </c>
      <c r="F12" s="38" t="e">
        <f>ROUND(D12*#REF!,0)</f>
        <v>#REF!</v>
      </c>
      <c r="G12" s="38" t="e">
        <f>ROUND(D12*#REF!,0)</f>
        <v>#REF!</v>
      </c>
      <c r="H12" s="38" t="e">
        <f>ROUND(D12*#REF!,0)</f>
        <v>#REF!</v>
      </c>
      <c r="I12" s="44" t="e">
        <f t="shared" si="0"/>
        <v>#REF!</v>
      </c>
      <c r="J12" s="11"/>
      <c r="L12" s="16" t="e">
        <f>HYPERLINK("#"&amp;#REF!&amp;"!A"&amp;ROW(#REF!),"B07016 →")</f>
        <v>#REF!</v>
      </c>
    </row>
    <row r="13" spans="1:12" ht="24.95" customHeight="1" x14ac:dyDescent="0.3">
      <c r="A13" s="6" t="s">
        <v>41</v>
      </c>
      <c r="B13" s="7" t="s">
        <v>42</v>
      </c>
      <c r="C13" s="7"/>
      <c r="D13" s="64">
        <v>1.56</v>
      </c>
      <c r="E13" s="26" t="s">
        <v>43</v>
      </c>
      <c r="F13" s="38" t="e">
        <f>ROUND(D13*#REF!,0)</f>
        <v>#REF!</v>
      </c>
      <c r="G13" s="38" t="e">
        <f>ROUND(D13*#REF!,0)</f>
        <v>#REF!</v>
      </c>
      <c r="H13" s="38" t="e">
        <f>ROUND(D13*#REF!,0)</f>
        <v>#REF!</v>
      </c>
      <c r="I13" s="44" t="e">
        <f t="shared" si="0"/>
        <v>#REF!</v>
      </c>
      <c r="J13" s="11"/>
      <c r="L13" s="16" t="e">
        <f>HYPERLINK("#"&amp;#REF!&amp;"!A"&amp;ROW(#REF!),"B07017 →")</f>
        <v>#REF!</v>
      </c>
    </row>
    <row r="14" spans="1:12" ht="24.95" customHeight="1" x14ac:dyDescent="0.3">
      <c r="A14" s="6" t="s">
        <v>44</v>
      </c>
      <c r="B14" s="7" t="s">
        <v>45</v>
      </c>
      <c r="C14" s="7" t="s">
        <v>46</v>
      </c>
      <c r="D14" s="64">
        <v>52.9</v>
      </c>
      <c r="E14" s="26" t="s">
        <v>24</v>
      </c>
      <c r="F14" s="38" t="e">
        <f>ROUND(D14*#REF!,0)</f>
        <v>#REF!</v>
      </c>
      <c r="G14" s="38" t="e">
        <f>ROUND(D14*#REF!,0)</f>
        <v>#REF!</v>
      </c>
      <c r="H14" s="38" t="e">
        <f>ROUND(D14*#REF!,0)</f>
        <v>#REF!</v>
      </c>
      <c r="I14" s="44" t="e">
        <f t="shared" si="0"/>
        <v>#REF!</v>
      </c>
      <c r="J14" s="11"/>
      <c r="L14" s="16" t="e">
        <f>HYPERLINK("#"&amp;#REF!&amp;"!A"&amp;ROW(#REF!),"B07018 →")</f>
        <v>#REF!</v>
      </c>
    </row>
    <row r="15" spans="1:12" ht="24.95" customHeight="1" x14ac:dyDescent="0.3">
      <c r="A15" s="6" t="s">
        <v>58</v>
      </c>
      <c r="B15" s="7" t="s">
        <v>600</v>
      </c>
      <c r="C15" s="7" t="s">
        <v>47</v>
      </c>
      <c r="D15" s="64">
        <v>3</v>
      </c>
      <c r="E15" s="26" t="s">
        <v>48</v>
      </c>
      <c r="F15" s="38" t="e">
        <f>ROUND(D15*#REF!,0)</f>
        <v>#REF!</v>
      </c>
      <c r="G15" s="38" t="e">
        <f>ROUND(D15*#REF!,0)</f>
        <v>#REF!</v>
      </c>
      <c r="H15" s="38" t="e">
        <f>ROUND(D15*#REF!,0)</f>
        <v>#REF!</v>
      </c>
      <c r="I15" s="44" t="e">
        <f t="shared" si="0"/>
        <v>#REF!</v>
      </c>
      <c r="J15" s="11"/>
      <c r="L15" s="16" t="e">
        <f>HYPERLINK("#"&amp;#REF!&amp;"!A"&amp;ROW(#REF!),"B07032 →")</f>
        <v>#REF!</v>
      </c>
    </row>
    <row r="16" spans="1:12" ht="24.95" hidden="1" customHeight="1" x14ac:dyDescent="0.3">
      <c r="A16" s="6" t="s">
        <v>59</v>
      </c>
      <c r="B16" s="7" t="s">
        <v>600</v>
      </c>
      <c r="C16" s="7" t="s">
        <v>49</v>
      </c>
      <c r="D16" s="64">
        <v>3</v>
      </c>
      <c r="E16" s="26" t="s">
        <v>48</v>
      </c>
      <c r="F16" s="38" t="e">
        <f>ROUND(D16*#REF!,0)</f>
        <v>#REF!</v>
      </c>
      <c r="G16" s="38" t="e">
        <f>ROUND(D16*#REF!,0)</f>
        <v>#REF!</v>
      </c>
      <c r="H16" s="38" t="e">
        <f>ROUND(D16*#REF!,0)</f>
        <v>#REF!</v>
      </c>
      <c r="I16" s="44" t="e">
        <f t="shared" si="0"/>
        <v>#REF!</v>
      </c>
      <c r="J16" s="11"/>
      <c r="L16" s="16" t="e">
        <f>HYPERLINK("#"&amp;#REF!&amp;"!A"&amp;ROW(#REF!),"B07033 →")</f>
        <v>#REF!</v>
      </c>
    </row>
    <row r="17" spans="1:12" ht="24.95" hidden="1" customHeight="1" x14ac:dyDescent="0.3">
      <c r="A17" s="6" t="s">
        <v>60</v>
      </c>
      <c r="B17" s="7" t="s">
        <v>600</v>
      </c>
      <c r="C17" s="7" t="s">
        <v>52</v>
      </c>
      <c r="D17" s="64">
        <v>3</v>
      </c>
      <c r="E17" s="26" t="s">
        <v>48</v>
      </c>
      <c r="F17" s="38" t="e">
        <f>ROUND(D17*#REF!,0)</f>
        <v>#REF!</v>
      </c>
      <c r="G17" s="38" t="e">
        <f>ROUND(D17*#REF!,0)</f>
        <v>#REF!</v>
      </c>
      <c r="H17" s="38" t="e">
        <f>ROUND(D17*#REF!,0)</f>
        <v>#REF!</v>
      </c>
      <c r="I17" s="44" t="e">
        <f t="shared" si="0"/>
        <v>#REF!</v>
      </c>
      <c r="J17" s="11"/>
      <c r="L17" s="16" t="e">
        <f>HYPERLINK("#"&amp;#REF!&amp;"!A"&amp;ROW(#REF!),"B07034 →")</f>
        <v>#REF!</v>
      </c>
    </row>
    <row r="18" spans="1:12" ht="24.95" hidden="1" customHeight="1" x14ac:dyDescent="0.3">
      <c r="A18" s="6" t="s">
        <v>61</v>
      </c>
      <c r="B18" s="7" t="s">
        <v>600</v>
      </c>
      <c r="C18" s="7" t="s">
        <v>53</v>
      </c>
      <c r="D18" s="64">
        <v>3</v>
      </c>
      <c r="E18" s="26" t="s">
        <v>48</v>
      </c>
      <c r="F18" s="38" t="e">
        <f>ROUND(D18*#REF!,0)</f>
        <v>#REF!</v>
      </c>
      <c r="G18" s="38" t="e">
        <f>ROUND(D18*#REF!,0)</f>
        <v>#REF!</v>
      </c>
      <c r="H18" s="38" t="e">
        <f>ROUND(D18*#REF!,0)</f>
        <v>#REF!</v>
      </c>
      <c r="I18" s="44" t="e">
        <f t="shared" si="0"/>
        <v>#REF!</v>
      </c>
      <c r="J18" s="11"/>
      <c r="L18" s="16" t="e">
        <f>HYPERLINK("#"&amp;#REF!&amp;"!A"&amp;ROW(#REF!),"B07035 →")</f>
        <v>#REF!</v>
      </c>
    </row>
    <row r="19" spans="1:12" ht="24.95" hidden="1" customHeight="1" x14ac:dyDescent="0.3">
      <c r="A19" s="6" t="s">
        <v>62</v>
      </c>
      <c r="B19" s="7" t="s">
        <v>600</v>
      </c>
      <c r="C19" s="7" t="s">
        <v>50</v>
      </c>
      <c r="D19" s="64">
        <v>3</v>
      </c>
      <c r="E19" s="26" t="s">
        <v>48</v>
      </c>
      <c r="F19" s="38" t="e">
        <f>ROUND(D19*#REF!,0)</f>
        <v>#REF!</v>
      </c>
      <c r="G19" s="38" t="e">
        <f>ROUND(D19*#REF!,0)</f>
        <v>#REF!</v>
      </c>
      <c r="H19" s="38" t="e">
        <f>ROUND(D19*#REF!,0)</f>
        <v>#REF!</v>
      </c>
      <c r="I19" s="44" t="e">
        <f t="shared" si="0"/>
        <v>#REF!</v>
      </c>
      <c r="J19" s="11"/>
      <c r="L19" s="16" t="e">
        <f>HYPERLINK("#"&amp;#REF!&amp;"!A"&amp;ROW(#REF!),"B07036 →")</f>
        <v>#REF!</v>
      </c>
    </row>
    <row r="20" spans="1:12" ht="24.95" hidden="1" customHeight="1" x14ac:dyDescent="0.3">
      <c r="A20" s="6" t="s">
        <v>63</v>
      </c>
      <c r="B20" s="7" t="s">
        <v>600</v>
      </c>
      <c r="C20" s="7" t="s">
        <v>51</v>
      </c>
      <c r="D20" s="64">
        <v>3</v>
      </c>
      <c r="E20" s="26" t="s">
        <v>48</v>
      </c>
      <c r="F20" s="38" t="e">
        <f>ROUND(D20*#REF!,0)</f>
        <v>#REF!</v>
      </c>
      <c r="G20" s="38" t="e">
        <f>ROUND(D20*#REF!,0)</f>
        <v>#REF!</v>
      </c>
      <c r="H20" s="38" t="e">
        <f>ROUND(D20*#REF!,0)</f>
        <v>#REF!</v>
      </c>
      <c r="I20" s="44" t="e">
        <f t="shared" si="0"/>
        <v>#REF!</v>
      </c>
      <c r="J20" s="11"/>
      <c r="L20" s="16" t="e">
        <f>HYPERLINK("#"&amp;#REF!&amp;"!A"&amp;ROW(#REF!),"B07037 →")</f>
        <v>#REF!</v>
      </c>
    </row>
    <row r="21" spans="1:12" ht="24.95" hidden="1" customHeight="1" x14ac:dyDescent="0.3">
      <c r="A21" s="6" t="s">
        <v>64</v>
      </c>
      <c r="B21" s="7" t="s">
        <v>600</v>
      </c>
      <c r="C21" s="7" t="s">
        <v>54</v>
      </c>
      <c r="D21" s="64">
        <v>3</v>
      </c>
      <c r="E21" s="26" t="s">
        <v>48</v>
      </c>
      <c r="F21" s="38" t="e">
        <f>ROUND(D21*#REF!,0)</f>
        <v>#REF!</v>
      </c>
      <c r="G21" s="38" t="e">
        <f>ROUND(D21*#REF!,0)</f>
        <v>#REF!</v>
      </c>
      <c r="H21" s="38" t="e">
        <f>ROUND(D21*#REF!,0)</f>
        <v>#REF!</v>
      </c>
      <c r="I21" s="44" t="e">
        <f t="shared" si="0"/>
        <v>#REF!</v>
      </c>
      <c r="J21" s="11"/>
      <c r="L21" s="16" t="e">
        <f>HYPERLINK("#"&amp;#REF!&amp;"!A"&amp;ROW(#REF!),"B07038 →")</f>
        <v>#REF!</v>
      </c>
    </row>
    <row r="22" spans="1:12" ht="24.95" hidden="1" customHeight="1" x14ac:dyDescent="0.3">
      <c r="A22" s="6" t="s">
        <v>65</v>
      </c>
      <c r="B22" s="7" t="s">
        <v>600</v>
      </c>
      <c r="C22" s="7" t="s">
        <v>55</v>
      </c>
      <c r="D22" s="64">
        <v>3</v>
      </c>
      <c r="E22" s="26" t="s">
        <v>48</v>
      </c>
      <c r="F22" s="38" t="e">
        <f>ROUND(D22*#REF!,0)</f>
        <v>#REF!</v>
      </c>
      <c r="G22" s="38" t="e">
        <f>ROUND(D22*#REF!,0)</f>
        <v>#REF!</v>
      </c>
      <c r="H22" s="38" t="e">
        <f>ROUND(D22*#REF!,0)</f>
        <v>#REF!</v>
      </c>
      <c r="I22" s="44" t="e">
        <f t="shared" ref="I22:I30" si="1">F22+G22+H22</f>
        <v>#REF!</v>
      </c>
      <c r="J22" s="11"/>
      <c r="L22" s="16" t="e">
        <f>HYPERLINK("#"&amp;#REF!&amp;"!A"&amp;ROW(#REF!),"B07039 →")</f>
        <v>#REF!</v>
      </c>
    </row>
    <row r="23" spans="1:12" ht="24.95" customHeight="1" x14ac:dyDescent="0.3">
      <c r="A23" s="6" t="s">
        <v>66</v>
      </c>
      <c r="B23" s="7" t="s">
        <v>600</v>
      </c>
      <c r="C23" s="7" t="s">
        <v>67</v>
      </c>
      <c r="D23" s="64">
        <v>3</v>
      </c>
      <c r="E23" s="26" t="s">
        <v>48</v>
      </c>
      <c r="F23" s="38" t="e">
        <f>ROUND(D23*#REF!,0)</f>
        <v>#REF!</v>
      </c>
      <c r="G23" s="38" t="e">
        <f>ROUND(D23*#REF!,0)</f>
        <v>#REF!</v>
      </c>
      <c r="H23" s="38" t="e">
        <f>ROUND(D23*#REF!,0)</f>
        <v>#REF!</v>
      </c>
      <c r="I23" s="44" t="e">
        <f t="shared" si="1"/>
        <v>#REF!</v>
      </c>
      <c r="J23" s="11"/>
      <c r="L23" s="16" t="e">
        <f>HYPERLINK("#"&amp;#REF!&amp;"!A"&amp;ROW(#REF!),"B07040 →")</f>
        <v>#REF!</v>
      </c>
    </row>
    <row r="24" spans="1:12" ht="24.95" hidden="1" customHeight="1" x14ac:dyDescent="0.3">
      <c r="A24" s="6" t="s">
        <v>68</v>
      </c>
      <c r="B24" s="7" t="s">
        <v>600</v>
      </c>
      <c r="C24" s="7" t="s">
        <v>69</v>
      </c>
      <c r="D24" s="64">
        <v>3</v>
      </c>
      <c r="E24" s="26" t="s">
        <v>48</v>
      </c>
      <c r="F24" s="38" t="e">
        <f>ROUND(D24*#REF!,0)</f>
        <v>#REF!</v>
      </c>
      <c r="G24" s="38" t="e">
        <f>ROUND(D24*#REF!,0)</f>
        <v>#REF!</v>
      </c>
      <c r="H24" s="38" t="e">
        <f>ROUND(D24*#REF!,0)</f>
        <v>#REF!</v>
      </c>
      <c r="I24" s="44" t="e">
        <f t="shared" si="1"/>
        <v>#REF!</v>
      </c>
      <c r="J24" s="11"/>
      <c r="L24" s="16" t="e">
        <f>HYPERLINK("#"&amp;#REF!&amp;"!A"&amp;ROW(#REF!),"B07041 →")</f>
        <v>#REF!</v>
      </c>
    </row>
    <row r="25" spans="1:12" ht="24.95" customHeight="1" x14ac:dyDescent="0.3">
      <c r="A25" s="6" t="s">
        <v>70</v>
      </c>
      <c r="B25" s="7" t="s">
        <v>600</v>
      </c>
      <c r="C25" s="7" t="s">
        <v>71</v>
      </c>
      <c r="D25" s="64">
        <v>3</v>
      </c>
      <c r="E25" s="26" t="s">
        <v>48</v>
      </c>
      <c r="F25" s="38" t="e">
        <f>ROUND(D25*#REF!,0)</f>
        <v>#REF!</v>
      </c>
      <c r="G25" s="38" t="e">
        <f>ROUND(D25*#REF!,0)</f>
        <v>#REF!</v>
      </c>
      <c r="H25" s="38" t="e">
        <f>ROUND(D25*#REF!,0)</f>
        <v>#REF!</v>
      </c>
      <c r="I25" s="44" t="e">
        <f t="shared" si="1"/>
        <v>#REF!</v>
      </c>
      <c r="J25" s="11"/>
      <c r="L25" s="16" t="e">
        <f>HYPERLINK("#"&amp;#REF!&amp;"!A"&amp;ROW(#REF!),"B07042 →")</f>
        <v>#REF!</v>
      </c>
    </row>
    <row r="26" spans="1:12" ht="24.95" hidden="1" customHeight="1" x14ac:dyDescent="0.3">
      <c r="A26" s="6" t="s">
        <v>72</v>
      </c>
      <c r="B26" s="7" t="s">
        <v>600</v>
      </c>
      <c r="C26" s="7" t="s">
        <v>73</v>
      </c>
      <c r="D26" s="64">
        <v>3</v>
      </c>
      <c r="E26" s="26" t="s">
        <v>48</v>
      </c>
      <c r="F26" s="38" t="e">
        <f>ROUND(D26*#REF!,0)</f>
        <v>#REF!</v>
      </c>
      <c r="G26" s="38" t="e">
        <f>ROUND(D26*#REF!,0)</f>
        <v>#REF!</v>
      </c>
      <c r="H26" s="38" t="e">
        <f>ROUND(D26*#REF!,0)</f>
        <v>#REF!</v>
      </c>
      <c r="I26" s="44" t="e">
        <f t="shared" si="1"/>
        <v>#REF!</v>
      </c>
      <c r="J26" s="11"/>
      <c r="L26" s="16" t="e">
        <f>HYPERLINK("#"&amp;#REF!&amp;"!A"&amp;ROW(#REF!),"B07043 →")</f>
        <v>#REF!</v>
      </c>
    </row>
    <row r="27" spans="1:12" ht="24.95" hidden="1" customHeight="1" x14ac:dyDescent="0.3">
      <c r="A27" s="6" t="s">
        <v>74</v>
      </c>
      <c r="B27" s="7" t="s">
        <v>600</v>
      </c>
      <c r="C27" s="7" t="s">
        <v>75</v>
      </c>
      <c r="D27" s="64">
        <v>3</v>
      </c>
      <c r="E27" s="26" t="s">
        <v>48</v>
      </c>
      <c r="F27" s="38" t="e">
        <f>ROUND(D27*#REF!,0)</f>
        <v>#REF!</v>
      </c>
      <c r="G27" s="38" t="e">
        <f>ROUND(D27*#REF!,0)</f>
        <v>#REF!</v>
      </c>
      <c r="H27" s="38" t="e">
        <f>ROUND(D27*#REF!,0)</f>
        <v>#REF!</v>
      </c>
      <c r="I27" s="44" t="e">
        <f t="shared" si="1"/>
        <v>#REF!</v>
      </c>
      <c r="J27" s="11"/>
      <c r="L27" s="16" t="e">
        <f>HYPERLINK("#"&amp;#REF!&amp;"!A"&amp;ROW(#REF!),"B07044 →")</f>
        <v>#REF!</v>
      </c>
    </row>
    <row r="28" spans="1:12" ht="24.95" hidden="1" customHeight="1" x14ac:dyDescent="0.3">
      <c r="A28" s="6" t="s">
        <v>76</v>
      </c>
      <c r="B28" s="7" t="s">
        <v>600</v>
      </c>
      <c r="C28" s="7" t="s">
        <v>77</v>
      </c>
      <c r="D28" s="64">
        <v>3</v>
      </c>
      <c r="E28" s="26" t="s">
        <v>48</v>
      </c>
      <c r="F28" s="38" t="e">
        <f>ROUND(D28*#REF!,0)</f>
        <v>#REF!</v>
      </c>
      <c r="G28" s="38" t="e">
        <f>ROUND(D28*#REF!,0)</f>
        <v>#REF!</v>
      </c>
      <c r="H28" s="38" t="e">
        <f>ROUND(D28*#REF!,0)</f>
        <v>#REF!</v>
      </c>
      <c r="I28" s="44" t="e">
        <f t="shared" si="1"/>
        <v>#REF!</v>
      </c>
      <c r="J28" s="11"/>
      <c r="L28" s="16" t="e">
        <f>HYPERLINK("#"&amp;#REF!&amp;"!A"&amp;ROW(#REF!),"B07045 →")</f>
        <v>#REF!</v>
      </c>
    </row>
    <row r="29" spans="1:12" ht="24.95" hidden="1" customHeight="1" x14ac:dyDescent="0.3">
      <c r="A29" s="6" t="s">
        <v>78</v>
      </c>
      <c r="B29" s="7" t="s">
        <v>600</v>
      </c>
      <c r="C29" s="7" t="s">
        <v>79</v>
      </c>
      <c r="D29" s="64">
        <v>3</v>
      </c>
      <c r="E29" s="26" t="s">
        <v>48</v>
      </c>
      <c r="F29" s="38" t="e">
        <f>ROUND(D29*#REF!,0)</f>
        <v>#REF!</v>
      </c>
      <c r="G29" s="38" t="e">
        <f>ROUND(D29*#REF!,0)</f>
        <v>#REF!</v>
      </c>
      <c r="H29" s="38" t="e">
        <f>ROUND(D29*#REF!,0)</f>
        <v>#REF!</v>
      </c>
      <c r="I29" s="44" t="e">
        <f t="shared" si="1"/>
        <v>#REF!</v>
      </c>
      <c r="J29" s="11"/>
      <c r="L29" s="16" t="e">
        <f>HYPERLINK("#"&amp;#REF!&amp;"!A"&amp;ROW(#REF!),"B07046 →")</f>
        <v>#REF!</v>
      </c>
    </row>
    <row r="30" spans="1:12" ht="24.95" hidden="1" customHeight="1" x14ac:dyDescent="0.3">
      <c r="A30" s="6" t="s">
        <v>80</v>
      </c>
      <c r="B30" s="7" t="s">
        <v>600</v>
      </c>
      <c r="C30" s="7" t="s">
        <v>81</v>
      </c>
      <c r="D30" s="64">
        <v>3</v>
      </c>
      <c r="E30" s="26" t="s">
        <v>48</v>
      </c>
      <c r="F30" s="38" t="e">
        <f>ROUND(D30*#REF!,0)</f>
        <v>#REF!</v>
      </c>
      <c r="G30" s="38" t="e">
        <f>ROUND(D30*#REF!,0)</f>
        <v>#REF!</v>
      </c>
      <c r="H30" s="38" t="e">
        <f>ROUND(D30*#REF!,0)</f>
        <v>#REF!</v>
      </c>
      <c r="I30" s="44" t="e">
        <f t="shared" si="1"/>
        <v>#REF!</v>
      </c>
      <c r="J30" s="11"/>
      <c r="L30" s="16" t="e">
        <f>HYPERLINK("#"&amp;#REF!&amp;"!A"&amp;ROW(#REF!),"B07047 →")</f>
        <v>#REF!</v>
      </c>
    </row>
    <row r="31" spans="1:12" ht="24.95" customHeight="1" x14ac:dyDescent="0.3">
      <c r="A31" s="6" t="s">
        <v>88</v>
      </c>
      <c r="B31" s="7" t="s">
        <v>601</v>
      </c>
      <c r="C31" s="7" t="s">
        <v>85</v>
      </c>
      <c r="D31" s="64">
        <v>3</v>
      </c>
      <c r="E31" s="26" t="s">
        <v>38</v>
      </c>
      <c r="F31" s="38" t="e">
        <f>ROUND(D31*#REF!,0)</f>
        <v>#REF!</v>
      </c>
      <c r="G31" s="38" t="e">
        <f>ROUND(D31*#REF!,0)</f>
        <v>#REF!</v>
      </c>
      <c r="H31" s="38" t="e">
        <f>ROUND(D31*#REF!,0)</f>
        <v>#REF!</v>
      </c>
      <c r="I31" s="44" t="e">
        <f t="shared" ref="I31:I36" si="2">F31+G31+H31</f>
        <v>#REF!</v>
      </c>
      <c r="J31" s="11"/>
      <c r="L31" s="16" t="e">
        <f>HYPERLINK("#"&amp;#REF!&amp;"!A"&amp;ROW(#REF!),"B07083 →")</f>
        <v>#REF!</v>
      </c>
    </row>
    <row r="32" spans="1:12" ht="24.95" customHeight="1" x14ac:dyDescent="0.3">
      <c r="A32" s="6" t="s">
        <v>89</v>
      </c>
      <c r="B32" s="7" t="s">
        <v>601</v>
      </c>
      <c r="C32" s="7" t="s">
        <v>82</v>
      </c>
      <c r="D32" s="64">
        <v>3</v>
      </c>
      <c r="E32" s="26" t="s">
        <v>38</v>
      </c>
      <c r="F32" s="38" t="e">
        <f>ROUND(D32*#REF!,0)</f>
        <v>#REF!</v>
      </c>
      <c r="G32" s="38" t="e">
        <f>ROUND(D32*#REF!,0)</f>
        <v>#REF!</v>
      </c>
      <c r="H32" s="38" t="e">
        <f>ROUND(D32*#REF!,0)</f>
        <v>#REF!</v>
      </c>
      <c r="I32" s="44" t="e">
        <f t="shared" si="2"/>
        <v>#REF!</v>
      </c>
      <c r="J32" s="11"/>
      <c r="L32" s="16" t="e">
        <f>HYPERLINK("#"&amp;#REF!&amp;"!A"&amp;ROW(#REF!),"B07084 →")</f>
        <v>#REF!</v>
      </c>
    </row>
    <row r="33" spans="1:12" ht="24.95" customHeight="1" x14ac:dyDescent="0.3">
      <c r="A33" s="6" t="s">
        <v>90</v>
      </c>
      <c r="B33" s="7" t="s">
        <v>601</v>
      </c>
      <c r="C33" s="7" t="s">
        <v>86</v>
      </c>
      <c r="D33" s="64">
        <v>3</v>
      </c>
      <c r="E33" s="26" t="s">
        <v>38</v>
      </c>
      <c r="F33" s="38" t="e">
        <f>ROUND(D33*#REF!,0)</f>
        <v>#REF!</v>
      </c>
      <c r="G33" s="38" t="e">
        <f>ROUND(D33*#REF!,0)</f>
        <v>#REF!</v>
      </c>
      <c r="H33" s="38" t="e">
        <f>ROUND(D33*#REF!,0)</f>
        <v>#REF!</v>
      </c>
      <c r="I33" s="44" t="e">
        <f t="shared" si="2"/>
        <v>#REF!</v>
      </c>
      <c r="J33" s="11"/>
      <c r="L33" s="16" t="e">
        <f>HYPERLINK("#"&amp;#REF!&amp;"!A"&amp;ROW(#REF!),"B07085 →")</f>
        <v>#REF!</v>
      </c>
    </row>
    <row r="34" spans="1:12" ht="24.95" customHeight="1" x14ac:dyDescent="0.3">
      <c r="A34" s="6" t="s">
        <v>91</v>
      </c>
      <c r="B34" s="7" t="s">
        <v>601</v>
      </c>
      <c r="C34" s="7" t="s">
        <v>83</v>
      </c>
      <c r="D34" s="64">
        <v>3</v>
      </c>
      <c r="E34" s="26" t="s">
        <v>38</v>
      </c>
      <c r="F34" s="38" t="e">
        <f>ROUND(D34*#REF!,0)</f>
        <v>#REF!</v>
      </c>
      <c r="G34" s="38" t="e">
        <f>ROUND(D34*#REF!,0)</f>
        <v>#REF!</v>
      </c>
      <c r="H34" s="38" t="e">
        <f>ROUND(D34*#REF!,0)</f>
        <v>#REF!</v>
      </c>
      <c r="I34" s="44" t="e">
        <f t="shared" si="2"/>
        <v>#REF!</v>
      </c>
      <c r="J34" s="11"/>
      <c r="L34" s="16" t="e">
        <f>HYPERLINK("#"&amp;#REF!&amp;"!A"&amp;ROW(#REF!),"B07086 →")</f>
        <v>#REF!</v>
      </c>
    </row>
    <row r="35" spans="1:12" ht="24.95" customHeight="1" x14ac:dyDescent="0.3">
      <c r="A35" s="6" t="s">
        <v>92</v>
      </c>
      <c r="B35" s="7" t="s">
        <v>601</v>
      </c>
      <c r="C35" s="7" t="s">
        <v>87</v>
      </c>
      <c r="D35" s="64">
        <v>3</v>
      </c>
      <c r="E35" s="26" t="s">
        <v>38</v>
      </c>
      <c r="F35" s="38" t="e">
        <f>ROUND(D35*#REF!,0)</f>
        <v>#REF!</v>
      </c>
      <c r="G35" s="38" t="e">
        <f>ROUND(D35*#REF!,0)</f>
        <v>#REF!</v>
      </c>
      <c r="H35" s="38" t="e">
        <f>ROUND(D35*#REF!,0)</f>
        <v>#REF!</v>
      </c>
      <c r="I35" s="44" t="e">
        <f t="shared" si="2"/>
        <v>#REF!</v>
      </c>
      <c r="J35" s="11"/>
      <c r="L35" s="16" t="e">
        <f>HYPERLINK("#"&amp;#REF!&amp;"!A"&amp;ROW(#REF!),"B07087 →")</f>
        <v>#REF!</v>
      </c>
    </row>
    <row r="36" spans="1:12" ht="24.95" customHeight="1" x14ac:dyDescent="0.3">
      <c r="A36" s="6" t="s">
        <v>93</v>
      </c>
      <c r="B36" s="7" t="s">
        <v>601</v>
      </c>
      <c r="C36" s="7" t="s">
        <v>84</v>
      </c>
      <c r="D36" s="64">
        <v>3</v>
      </c>
      <c r="E36" s="26" t="s">
        <v>38</v>
      </c>
      <c r="F36" s="38" t="e">
        <f>ROUND(D36*#REF!,0)</f>
        <v>#REF!</v>
      </c>
      <c r="G36" s="38" t="e">
        <f>ROUND(D36*#REF!,0)</f>
        <v>#REF!</v>
      </c>
      <c r="H36" s="38" t="e">
        <f>ROUND(D36*#REF!,0)</f>
        <v>#REF!</v>
      </c>
      <c r="I36" s="44" t="e">
        <f t="shared" si="2"/>
        <v>#REF!</v>
      </c>
      <c r="J36" s="11"/>
      <c r="L36" s="16" t="e">
        <f>HYPERLINK("#"&amp;#REF!&amp;"!A"&amp;ROW(#REF!),"B07088 →")</f>
        <v>#REF!</v>
      </c>
    </row>
    <row r="37" spans="1:12" ht="24.95" customHeight="1" x14ac:dyDescent="0.3">
      <c r="A37" s="6" t="s">
        <v>95</v>
      </c>
      <c r="B37" s="7" t="s">
        <v>96</v>
      </c>
      <c r="C37" s="7"/>
      <c r="D37" s="64">
        <v>0.02</v>
      </c>
      <c r="E37" s="26" t="s">
        <v>16</v>
      </c>
      <c r="F37" s="38" t="e">
        <f>ROUND(D37*#REF!,0)</f>
        <v>#REF!</v>
      </c>
      <c r="G37" s="38" t="e">
        <f>ROUND(D37*#REF!,0)</f>
        <v>#REF!</v>
      </c>
      <c r="H37" s="38" t="e">
        <f>ROUND(D37*#REF!,0)</f>
        <v>#REF!</v>
      </c>
      <c r="I37" s="44" t="e">
        <f t="shared" ref="I37:I40" si="3">F37+G37+H37</f>
        <v>#REF!</v>
      </c>
      <c r="J37" s="11"/>
      <c r="L37" s="16" t="e">
        <f>HYPERLINK("#"&amp;#REF!&amp;"!A"&amp;ROW(#REF!),"B07103 →")</f>
        <v>#REF!</v>
      </c>
    </row>
    <row r="38" spans="1:12" ht="24.95" customHeight="1" x14ac:dyDescent="0.3">
      <c r="A38" s="6" t="s">
        <v>97</v>
      </c>
      <c r="B38" s="7" t="s">
        <v>98</v>
      </c>
      <c r="C38" s="7"/>
      <c r="D38" s="64">
        <v>7.0000000000000007E-2</v>
      </c>
      <c r="E38" s="26" t="s">
        <v>16</v>
      </c>
      <c r="F38" s="38" t="e">
        <f>ROUND(D38*#REF!,0)</f>
        <v>#REF!</v>
      </c>
      <c r="G38" s="38" t="e">
        <f>ROUND(D38*#REF!,0)</f>
        <v>#REF!</v>
      </c>
      <c r="H38" s="38" t="e">
        <f>ROUND(D38*#REF!,0)</f>
        <v>#REF!</v>
      </c>
      <c r="I38" s="44" t="e">
        <f t="shared" si="3"/>
        <v>#REF!</v>
      </c>
      <c r="J38" s="11"/>
      <c r="L38" s="16" t="e">
        <f>HYPERLINK("#"&amp;#REF!&amp;"!A"&amp;ROW(#REF!),"B07104 →")</f>
        <v>#REF!</v>
      </c>
    </row>
    <row r="39" spans="1:12" ht="24.95" hidden="1" customHeight="1" x14ac:dyDescent="0.3">
      <c r="A39" s="6" t="s">
        <v>99</v>
      </c>
      <c r="B39" s="7" t="s">
        <v>600</v>
      </c>
      <c r="C39" s="7" t="s">
        <v>56</v>
      </c>
      <c r="D39" s="64">
        <v>3</v>
      </c>
      <c r="E39" s="26" t="s">
        <v>48</v>
      </c>
      <c r="F39" s="38" t="e">
        <f>ROUND(D39*#REF!,0)</f>
        <v>#REF!</v>
      </c>
      <c r="G39" s="38" t="e">
        <f>ROUND(D39*#REF!,0)</f>
        <v>#REF!</v>
      </c>
      <c r="H39" s="38" t="e">
        <f>ROUND(D39*#REF!,0)</f>
        <v>#REF!</v>
      </c>
      <c r="I39" s="44" t="e">
        <f t="shared" si="3"/>
        <v>#REF!</v>
      </c>
      <c r="J39" s="11"/>
      <c r="L39" s="16" t="e">
        <f>HYPERLINK("#"&amp;#REF!&amp;"!A"&amp;ROW(#REF!),"B07113 →")</f>
        <v>#REF!</v>
      </c>
    </row>
    <row r="40" spans="1:12" ht="24.95" hidden="1" customHeight="1" x14ac:dyDescent="0.3">
      <c r="A40" s="6" t="s">
        <v>100</v>
      </c>
      <c r="B40" s="7" t="s">
        <v>600</v>
      </c>
      <c r="C40" s="7" t="s">
        <v>57</v>
      </c>
      <c r="D40" s="64">
        <v>3</v>
      </c>
      <c r="E40" s="26" t="s">
        <v>48</v>
      </c>
      <c r="F40" s="38" t="e">
        <f>ROUND(D40*#REF!,0)</f>
        <v>#REF!</v>
      </c>
      <c r="G40" s="38" t="e">
        <f>ROUND(D40*#REF!,0)</f>
        <v>#REF!</v>
      </c>
      <c r="H40" s="38" t="e">
        <f>ROUND(D40*#REF!,0)</f>
        <v>#REF!</v>
      </c>
      <c r="I40" s="44" t="e">
        <f t="shared" si="3"/>
        <v>#REF!</v>
      </c>
      <c r="J40" s="11"/>
      <c r="L40" s="16" t="e">
        <f>HYPERLINK("#"&amp;#REF!&amp;"!A"&amp;ROW(#REF!),"B07114 →")</f>
        <v>#REF!</v>
      </c>
    </row>
  </sheetData>
  <mergeCells count="1">
    <mergeCell ref="A1:J1"/>
  </mergeCells>
  <phoneticPr fontId="12" type="noConversion"/>
  <hyperlinks>
    <hyperlink ref="L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500-000000000000}"/>
    <hyperlink ref="K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500-000001000000}"/>
  </hyperlinks>
  <printOptions horizontalCentered="1"/>
  <pageMargins left="0.78740157480314965" right="0.78740157480314965" top="0.59055118110236215" bottom="0.59055118110236215" header="0" footer="0.39370078740157477"/>
  <pageSetup paperSize="9" scale="72" fitToWidth="0" fitToHeight="0" orientation="landscape" r:id="rId3"/>
  <headerFooter alignWithMargins="0">
    <oddFooter>&amp;C&amp;"굴림체,"&amp;9 - &amp;P -&amp;R&amp;"굴림체,"&amp;9 인천광역시 계양구청(건설과)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22"/>
  <sheetViews>
    <sheetView view="pageBreakPreview" zoomScale="130" zoomScaleNormal="100" zoomScaleSheetLayoutView="130" workbookViewId="0">
      <pane ySplit="3" topLeftCell="A10" activePane="bottomLeft" state="frozenSplit"/>
      <selection activeCell="C8" sqref="C8"/>
      <selection pane="bottomLeft" sqref="A1:J1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9" width="13" style="3" customWidth="1"/>
    <col min="10" max="10" width="10" style="3" customWidth="1"/>
    <col min="11" max="11" width="9.125" style="3" hidden="1" customWidth="1"/>
    <col min="12" max="12" width="9.125" style="14" customWidth="1"/>
    <col min="13" max="16384" width="9.125" style="3"/>
  </cols>
  <sheetData>
    <row r="1" spans="1:12" ht="24.95" customHeight="1" x14ac:dyDescent="0.3">
      <c r="A1" s="108" t="s">
        <v>458</v>
      </c>
      <c r="B1" s="109"/>
      <c r="C1" s="109"/>
      <c r="D1" s="109"/>
      <c r="E1" s="109"/>
      <c r="F1" s="109"/>
      <c r="G1" s="109"/>
      <c r="H1" s="109"/>
      <c r="I1" s="109"/>
      <c r="J1" s="109"/>
      <c r="K1" s="2" t="s">
        <v>102</v>
      </c>
      <c r="L1" s="15" t="s">
        <v>102</v>
      </c>
    </row>
    <row r="2" spans="1:12" ht="24.95" customHeight="1" x14ac:dyDescent="0.3">
      <c r="A2" s="1"/>
      <c r="K2" s="17" t="str">
        <f ca="1">MID(CELL("filename",$A$1),FIND("]",CELL("filename",$A$1))+1,LEN(CELL("filename",$A$1)))</f>
        <v>단가산출근거수량금액집계표</v>
      </c>
    </row>
    <row r="3" spans="1:12" ht="24.95" customHeight="1" x14ac:dyDescent="0.3">
      <c r="A3" s="5" t="s">
        <v>0</v>
      </c>
      <c r="B3" s="5" t="s">
        <v>1</v>
      </c>
      <c r="C3" s="5" t="s">
        <v>2</v>
      </c>
      <c r="D3" s="5" t="s">
        <v>372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10" t="s">
        <v>8</v>
      </c>
      <c r="L3" s="16" t="str">
        <f>HYPERLINK("#'〓 목 차 〓'!B2","목차 →")</f>
        <v>목차 →</v>
      </c>
    </row>
    <row r="4" spans="1:12" ht="24.95" customHeight="1" x14ac:dyDescent="0.3">
      <c r="A4" s="6" t="s">
        <v>103</v>
      </c>
      <c r="B4" s="7" t="s">
        <v>104</v>
      </c>
      <c r="C4" s="7" t="s">
        <v>105</v>
      </c>
      <c r="D4" s="64">
        <v>10.16</v>
      </c>
      <c r="E4" s="26" t="s">
        <v>16</v>
      </c>
      <c r="F4" s="38" t="e">
        <f>ROUND(D4*#REF!,0)</f>
        <v>#REF!</v>
      </c>
      <c r="G4" s="38" t="e">
        <f>ROUND(D4*#REF!,0)</f>
        <v>#REF!</v>
      </c>
      <c r="H4" s="38" t="e">
        <f>ROUND(D4*#REF!,0)</f>
        <v>#REF!</v>
      </c>
      <c r="I4" s="44" t="e">
        <f t="shared" ref="I4:I22" si="0">F4+G4+H4</f>
        <v>#REF!</v>
      </c>
      <c r="J4" s="11"/>
      <c r="L4" s="16" t="e">
        <f>HYPERLINK("#"&amp;#REF!&amp;"!A"&amp;ROW(#REF!),"D04413 →")</f>
        <v>#REF!</v>
      </c>
    </row>
    <row r="5" spans="1:12" ht="24.95" customHeight="1" x14ac:dyDescent="0.3">
      <c r="A5" s="6" t="s">
        <v>106</v>
      </c>
      <c r="B5" s="7" t="s">
        <v>107</v>
      </c>
      <c r="C5" s="7" t="s">
        <v>11</v>
      </c>
      <c r="D5" s="64">
        <v>90.24</v>
      </c>
      <c r="E5" s="26" t="s">
        <v>12</v>
      </c>
      <c r="F5" s="38" t="e">
        <f>ROUND(D5*#REF!,0)</f>
        <v>#REF!</v>
      </c>
      <c r="G5" s="38" t="e">
        <f>ROUND(D5*#REF!,0)</f>
        <v>#REF!</v>
      </c>
      <c r="H5" s="38" t="e">
        <f>ROUND(D5*#REF!,0)</f>
        <v>#REF!</v>
      </c>
      <c r="I5" s="44" t="e">
        <f t="shared" si="0"/>
        <v>#REF!</v>
      </c>
      <c r="J5" s="11"/>
      <c r="L5" s="16" t="e">
        <f>HYPERLINK("#"&amp;#REF!&amp;"!A"&amp;ROW(#REF!),"D04414 →")</f>
        <v>#REF!</v>
      </c>
    </row>
    <row r="6" spans="1:12" ht="24.95" customHeight="1" x14ac:dyDescent="0.3">
      <c r="A6" s="6" t="s">
        <v>108</v>
      </c>
      <c r="B6" s="7" t="s">
        <v>109</v>
      </c>
      <c r="C6" s="7" t="s">
        <v>11</v>
      </c>
      <c r="D6" s="64">
        <v>67.36</v>
      </c>
      <c r="E6" s="26" t="s">
        <v>12</v>
      </c>
      <c r="F6" s="38" t="e">
        <f>ROUND(D6*#REF!,0)</f>
        <v>#REF!</v>
      </c>
      <c r="G6" s="38" t="e">
        <f>ROUND(D6*#REF!,0)</f>
        <v>#REF!</v>
      </c>
      <c r="H6" s="38" t="e">
        <f>ROUND(D6*#REF!,0)</f>
        <v>#REF!</v>
      </c>
      <c r="I6" s="44" t="e">
        <f t="shared" si="0"/>
        <v>#REF!</v>
      </c>
      <c r="J6" s="11"/>
      <c r="L6" s="16" t="e">
        <f>HYPERLINK("#"&amp;#REF!&amp;"!A"&amp;ROW(#REF!),"D04415 →")</f>
        <v>#REF!</v>
      </c>
    </row>
    <row r="7" spans="1:12" ht="24.95" customHeight="1" x14ac:dyDescent="0.3">
      <c r="A7" s="6" t="s">
        <v>110</v>
      </c>
      <c r="B7" s="7" t="s">
        <v>111</v>
      </c>
      <c r="C7" s="7" t="s">
        <v>112</v>
      </c>
      <c r="D7" s="64">
        <v>132.54</v>
      </c>
      <c r="E7" s="26" t="s">
        <v>16</v>
      </c>
      <c r="F7" s="38" t="e">
        <f>ROUND(D7*#REF!,0)</f>
        <v>#REF!</v>
      </c>
      <c r="G7" s="38" t="e">
        <f>ROUND(D7*#REF!,0)</f>
        <v>#REF!</v>
      </c>
      <c r="H7" s="38" t="e">
        <f>ROUND(D7*#REF!,0)</f>
        <v>#REF!</v>
      </c>
      <c r="I7" s="44" t="e">
        <f t="shared" si="0"/>
        <v>#REF!</v>
      </c>
      <c r="J7" s="11"/>
      <c r="L7" s="16" t="e">
        <f>HYPERLINK("#"&amp;#REF!&amp;"!A"&amp;ROW(#REF!),"D04416 →")</f>
        <v>#REF!</v>
      </c>
    </row>
    <row r="8" spans="1:12" ht="24.95" customHeight="1" x14ac:dyDescent="0.3">
      <c r="A8" s="6" t="s">
        <v>113</v>
      </c>
      <c r="B8" s="7" t="s">
        <v>114</v>
      </c>
      <c r="C8" s="7" t="s">
        <v>115</v>
      </c>
      <c r="D8" s="64">
        <v>257</v>
      </c>
      <c r="E8" s="26" t="s">
        <v>38</v>
      </c>
      <c r="F8" s="38" t="e">
        <f>ROUND(D8*#REF!,0)</f>
        <v>#REF!</v>
      </c>
      <c r="G8" s="38" t="e">
        <f>ROUND(D8*#REF!,0)</f>
        <v>#REF!</v>
      </c>
      <c r="H8" s="38" t="e">
        <f>ROUND(D8*#REF!,0)</f>
        <v>#REF!</v>
      </c>
      <c r="I8" s="44" t="e">
        <f t="shared" si="0"/>
        <v>#REF!</v>
      </c>
      <c r="J8" s="11"/>
      <c r="L8" s="16" t="e">
        <f>HYPERLINK("#"&amp;#REF!&amp;"!A"&amp;ROW(#REF!),"D04417 →")</f>
        <v>#REF!</v>
      </c>
    </row>
    <row r="9" spans="1:12" ht="24.95" customHeight="1" x14ac:dyDescent="0.3">
      <c r="A9" s="6" t="s">
        <v>116</v>
      </c>
      <c r="B9" s="7" t="s">
        <v>117</v>
      </c>
      <c r="C9" s="7" t="s">
        <v>118</v>
      </c>
      <c r="D9" s="64">
        <v>62.45</v>
      </c>
      <c r="E9" s="26" t="s">
        <v>24</v>
      </c>
      <c r="F9" s="38" t="e">
        <f>ROUND(D9*#REF!,0)</f>
        <v>#REF!</v>
      </c>
      <c r="G9" s="38" t="e">
        <f>ROUND(D9*#REF!,0)</f>
        <v>#REF!</v>
      </c>
      <c r="H9" s="38" t="e">
        <f>ROUND(D9*#REF!,0)</f>
        <v>#REF!</v>
      </c>
      <c r="I9" s="44" t="e">
        <f t="shared" si="0"/>
        <v>#REF!</v>
      </c>
      <c r="J9" s="11"/>
      <c r="L9" s="16" t="e">
        <f>HYPERLINK("#"&amp;#REF!&amp;"!A"&amp;ROW(#REF!),"D04418 →")</f>
        <v>#REF!</v>
      </c>
    </row>
    <row r="10" spans="1:12" ht="24.95" customHeight="1" x14ac:dyDescent="0.3">
      <c r="A10" s="6" t="s">
        <v>119</v>
      </c>
      <c r="B10" s="7" t="s">
        <v>120</v>
      </c>
      <c r="C10" s="7" t="s">
        <v>121</v>
      </c>
      <c r="D10" s="64">
        <v>1.56</v>
      </c>
      <c r="E10" s="26" t="s">
        <v>24</v>
      </c>
      <c r="F10" s="38" t="e">
        <f>ROUND(D10*#REF!,0)</f>
        <v>#REF!</v>
      </c>
      <c r="G10" s="38" t="e">
        <f>ROUND(D10*#REF!,0)</f>
        <v>#REF!</v>
      </c>
      <c r="H10" s="38" t="e">
        <f>ROUND(D10*#REF!,0)</f>
        <v>#REF!</v>
      </c>
      <c r="I10" s="44" t="e">
        <f t="shared" si="0"/>
        <v>#REF!</v>
      </c>
      <c r="J10" s="11"/>
      <c r="L10" s="16" t="e">
        <f>HYPERLINK("#"&amp;#REF!&amp;"!A"&amp;ROW(#REF!),"D04419 →")</f>
        <v>#REF!</v>
      </c>
    </row>
    <row r="11" spans="1:12" ht="24.95" customHeight="1" x14ac:dyDescent="0.3">
      <c r="A11" s="6" t="s">
        <v>122</v>
      </c>
      <c r="B11" s="7" t="s">
        <v>123</v>
      </c>
      <c r="C11" s="7" t="s">
        <v>124</v>
      </c>
      <c r="D11" s="64">
        <v>39.17</v>
      </c>
      <c r="E11" s="26" t="s">
        <v>24</v>
      </c>
      <c r="F11" s="38" t="e">
        <f>ROUND(D11*#REF!,0)</f>
        <v>#REF!</v>
      </c>
      <c r="G11" s="38" t="e">
        <f>ROUND(D11*#REF!,0)</f>
        <v>#REF!</v>
      </c>
      <c r="H11" s="38" t="e">
        <f>ROUND(D11*#REF!,0)</f>
        <v>#REF!</v>
      </c>
      <c r="I11" s="44" t="e">
        <f t="shared" si="0"/>
        <v>#REF!</v>
      </c>
      <c r="J11" s="11"/>
      <c r="L11" s="16" t="e">
        <f>HYPERLINK("#"&amp;#REF!&amp;"!A"&amp;ROW(#REF!),"D04420 →")</f>
        <v>#REF!</v>
      </c>
    </row>
    <row r="12" spans="1:12" ht="24.95" customHeight="1" x14ac:dyDescent="0.3">
      <c r="A12" s="6" t="s">
        <v>125</v>
      </c>
      <c r="B12" s="7" t="s">
        <v>126</v>
      </c>
      <c r="C12" s="7" t="s">
        <v>115</v>
      </c>
      <c r="D12" s="64">
        <v>247.2</v>
      </c>
      <c r="E12" s="26" t="s">
        <v>38</v>
      </c>
      <c r="F12" s="38" t="e">
        <f>ROUND(D12*#REF!,0)</f>
        <v>#REF!</v>
      </c>
      <c r="G12" s="38" t="e">
        <f>ROUND(D12*#REF!,0)</f>
        <v>#REF!</v>
      </c>
      <c r="H12" s="38" t="e">
        <f>ROUND(D12*#REF!,0)</f>
        <v>#REF!</v>
      </c>
      <c r="I12" s="44" t="e">
        <f t="shared" si="0"/>
        <v>#REF!</v>
      </c>
      <c r="J12" s="11"/>
      <c r="L12" s="16" t="e">
        <f>HYPERLINK("#"&amp;#REF!&amp;"!A"&amp;ROW(#REF!),"D04421 →")</f>
        <v>#REF!</v>
      </c>
    </row>
    <row r="13" spans="1:12" ht="24.95" customHeight="1" x14ac:dyDescent="0.3">
      <c r="A13" s="6" t="s">
        <v>127</v>
      </c>
      <c r="B13" s="7" t="s">
        <v>128</v>
      </c>
      <c r="C13" s="7" t="s">
        <v>112</v>
      </c>
      <c r="D13" s="64">
        <v>166.52</v>
      </c>
      <c r="E13" s="26" t="s">
        <v>24</v>
      </c>
      <c r="F13" s="38" t="e">
        <f>ROUND(D13*#REF!,0)</f>
        <v>#REF!</v>
      </c>
      <c r="G13" s="38" t="e">
        <f>ROUND(D13*#REF!,0)</f>
        <v>#REF!</v>
      </c>
      <c r="H13" s="38" t="e">
        <f>ROUND(D13*#REF!,0)</f>
        <v>#REF!</v>
      </c>
      <c r="I13" s="44" t="e">
        <f t="shared" si="0"/>
        <v>#REF!</v>
      </c>
      <c r="J13" s="11"/>
      <c r="L13" s="16" t="e">
        <f>HYPERLINK("#"&amp;#REF!&amp;"!A"&amp;ROW(#REF!),"D04422 →")</f>
        <v>#REF!</v>
      </c>
    </row>
    <row r="14" spans="1:12" ht="24.95" customHeight="1" x14ac:dyDescent="0.3">
      <c r="A14" s="6" t="s">
        <v>129</v>
      </c>
      <c r="B14" s="7" t="s">
        <v>130</v>
      </c>
      <c r="C14" s="7" t="s">
        <v>131</v>
      </c>
      <c r="D14" s="64">
        <v>14.67</v>
      </c>
      <c r="E14" s="26" t="s">
        <v>24</v>
      </c>
      <c r="F14" s="38" t="e">
        <f>ROUND(D14*#REF!,0)</f>
        <v>#REF!</v>
      </c>
      <c r="G14" s="38" t="e">
        <f>ROUND(D14*#REF!,0)</f>
        <v>#REF!</v>
      </c>
      <c r="H14" s="38" t="e">
        <f>ROUND(D14*#REF!,0)</f>
        <v>#REF!</v>
      </c>
      <c r="I14" s="44" t="e">
        <f t="shared" si="0"/>
        <v>#REF!</v>
      </c>
      <c r="J14" s="11"/>
      <c r="L14" s="16" t="e">
        <f>HYPERLINK("#"&amp;#REF!&amp;"!A"&amp;ROW(#REF!),"D04423 →")</f>
        <v>#REF!</v>
      </c>
    </row>
    <row r="15" spans="1:12" ht="24.95" hidden="1" customHeight="1" x14ac:dyDescent="0.3">
      <c r="A15" s="6" t="s">
        <v>132</v>
      </c>
      <c r="B15" s="7" t="s">
        <v>133</v>
      </c>
      <c r="C15" s="7" t="s">
        <v>134</v>
      </c>
      <c r="D15" s="64">
        <v>1</v>
      </c>
      <c r="E15" s="26" t="s">
        <v>12</v>
      </c>
      <c r="F15" s="38" t="e">
        <f>ROUND(D15*#REF!,0)</f>
        <v>#REF!</v>
      </c>
      <c r="G15" s="38" t="e">
        <f>ROUND(D15*#REF!,0)</f>
        <v>#REF!</v>
      </c>
      <c r="H15" s="38" t="e">
        <f>ROUND(D15*#REF!,0)</f>
        <v>#REF!</v>
      </c>
      <c r="I15" s="44" t="e">
        <f t="shared" si="0"/>
        <v>#REF!</v>
      </c>
      <c r="J15" s="11"/>
      <c r="L15" s="16" t="e">
        <f>HYPERLINK("#"&amp;#REF!&amp;"!A"&amp;ROW(#REF!),"D04424 →")</f>
        <v>#REF!</v>
      </c>
    </row>
    <row r="16" spans="1:12" ht="24.95" hidden="1" customHeight="1" x14ac:dyDescent="0.3">
      <c r="A16" s="6" t="s">
        <v>135</v>
      </c>
      <c r="B16" s="7" t="s">
        <v>136</v>
      </c>
      <c r="C16" s="7" t="s">
        <v>134</v>
      </c>
      <c r="D16" s="64">
        <v>2</v>
      </c>
      <c r="E16" s="26" t="s">
        <v>12</v>
      </c>
      <c r="F16" s="38" t="e">
        <f>ROUND(D16*#REF!,0)</f>
        <v>#REF!</v>
      </c>
      <c r="G16" s="38" t="e">
        <f>ROUND(D16*#REF!,0)</f>
        <v>#REF!</v>
      </c>
      <c r="H16" s="38" t="e">
        <f>ROUND(D16*#REF!,0)</f>
        <v>#REF!</v>
      </c>
      <c r="I16" s="44" t="e">
        <f t="shared" si="0"/>
        <v>#REF!</v>
      </c>
      <c r="J16" s="11"/>
      <c r="L16" s="16" t="e">
        <f>HYPERLINK("#"&amp;#REF!&amp;"!A"&amp;ROW(#REF!),"D04425 →")</f>
        <v>#REF!</v>
      </c>
    </row>
    <row r="17" spans="1:12" ht="24.95" hidden="1" customHeight="1" x14ac:dyDescent="0.3">
      <c r="A17" s="6" t="s">
        <v>137</v>
      </c>
      <c r="B17" s="7" t="s">
        <v>138</v>
      </c>
      <c r="C17" s="7" t="s">
        <v>139</v>
      </c>
      <c r="D17" s="64">
        <v>2</v>
      </c>
      <c r="E17" s="26" t="s">
        <v>94</v>
      </c>
      <c r="F17" s="38" t="e">
        <f>ROUND(D17*#REF!,0)</f>
        <v>#REF!</v>
      </c>
      <c r="G17" s="38" t="e">
        <f>ROUND(D17*#REF!,0)</f>
        <v>#REF!</v>
      </c>
      <c r="H17" s="38" t="e">
        <f>ROUND(D17*#REF!,0)</f>
        <v>#REF!</v>
      </c>
      <c r="I17" s="44" t="e">
        <f t="shared" si="0"/>
        <v>#REF!</v>
      </c>
      <c r="J17" s="11"/>
      <c r="L17" s="16" t="e">
        <f>HYPERLINK("#"&amp;#REF!&amp;"!A"&amp;ROW(#REF!),"D04427 →")</f>
        <v>#REF!</v>
      </c>
    </row>
    <row r="18" spans="1:12" ht="24.95" customHeight="1" x14ac:dyDescent="0.3">
      <c r="A18" s="6" t="s">
        <v>140</v>
      </c>
      <c r="B18" s="7" t="s">
        <v>141</v>
      </c>
      <c r="C18" s="75" t="s">
        <v>575</v>
      </c>
      <c r="D18" s="64">
        <v>6.84</v>
      </c>
      <c r="E18" s="26" t="s">
        <v>12</v>
      </c>
      <c r="F18" s="38" t="e">
        <f>ROUND(D18*#REF!,0)</f>
        <v>#REF!</v>
      </c>
      <c r="G18" s="38" t="e">
        <f>ROUND(D18*#REF!,0)</f>
        <v>#REF!</v>
      </c>
      <c r="H18" s="38" t="e">
        <f>ROUND(D18*#REF!,0)</f>
        <v>#REF!</v>
      </c>
      <c r="I18" s="44" t="e">
        <f t="shared" si="0"/>
        <v>#REF!</v>
      </c>
      <c r="J18" s="11"/>
      <c r="L18" s="16" t="e">
        <f>HYPERLINK("#"&amp;#REF!&amp;"!A"&amp;ROW(#REF!),"D04428 →")</f>
        <v>#REF!</v>
      </c>
    </row>
    <row r="19" spans="1:12" ht="24.95" hidden="1" customHeight="1" x14ac:dyDescent="0.3">
      <c r="A19" s="6" t="s">
        <v>142</v>
      </c>
      <c r="B19" s="7" t="s">
        <v>143</v>
      </c>
      <c r="C19" s="7" t="s">
        <v>144</v>
      </c>
      <c r="D19" s="64">
        <v>6</v>
      </c>
      <c r="E19" s="26" t="s">
        <v>94</v>
      </c>
      <c r="F19" s="38" t="e">
        <f>ROUND(D19*#REF!,0)</f>
        <v>#REF!</v>
      </c>
      <c r="G19" s="38" t="e">
        <f>ROUND(D19*#REF!,0)</f>
        <v>#REF!</v>
      </c>
      <c r="H19" s="38" t="e">
        <f>ROUND(D19*#REF!,0)</f>
        <v>#REF!</v>
      </c>
      <c r="I19" s="44" t="e">
        <f t="shared" si="0"/>
        <v>#REF!</v>
      </c>
      <c r="J19" s="11"/>
      <c r="L19" s="16" t="e">
        <f>HYPERLINK("#"&amp;#REF!&amp;"!A"&amp;ROW(#REF!),"D04429 →")</f>
        <v>#REF!</v>
      </c>
    </row>
    <row r="20" spans="1:12" ht="24.95" hidden="1" customHeight="1" x14ac:dyDescent="0.3">
      <c r="A20" s="6" t="s">
        <v>145</v>
      </c>
      <c r="B20" s="7" t="s">
        <v>143</v>
      </c>
      <c r="C20" s="7" t="s">
        <v>146</v>
      </c>
      <c r="D20" s="64">
        <v>6</v>
      </c>
      <c r="E20" s="26" t="s">
        <v>94</v>
      </c>
      <c r="F20" s="38" t="e">
        <f>ROUND(D20*#REF!,0)</f>
        <v>#REF!</v>
      </c>
      <c r="G20" s="38" t="e">
        <f>ROUND(D20*#REF!,0)</f>
        <v>#REF!</v>
      </c>
      <c r="H20" s="38" t="e">
        <f>ROUND(D20*#REF!,0)</f>
        <v>#REF!</v>
      </c>
      <c r="I20" s="44" t="e">
        <f t="shared" si="0"/>
        <v>#REF!</v>
      </c>
      <c r="J20" s="11"/>
      <c r="L20" s="16" t="e">
        <f>HYPERLINK("#"&amp;#REF!&amp;"!A"&amp;ROW(#REF!),"D04430 →")</f>
        <v>#REF!</v>
      </c>
    </row>
    <row r="21" spans="1:12" ht="24.95" customHeight="1" x14ac:dyDescent="0.3">
      <c r="A21" s="6" t="s">
        <v>147</v>
      </c>
      <c r="B21" s="7" t="s">
        <v>148</v>
      </c>
      <c r="C21" s="7" t="s">
        <v>149</v>
      </c>
      <c r="D21" s="64">
        <v>12.2</v>
      </c>
      <c r="E21" s="26" t="s">
        <v>24</v>
      </c>
      <c r="F21" s="38" t="e">
        <f>ROUND(D21*#REF!,0)</f>
        <v>#REF!</v>
      </c>
      <c r="G21" s="38" t="e">
        <f>ROUND(D21*#REF!,0)</f>
        <v>#REF!</v>
      </c>
      <c r="H21" s="38" t="e">
        <f>ROUND(D21*#REF!,0)</f>
        <v>#REF!</v>
      </c>
      <c r="I21" s="44" t="e">
        <f t="shared" si="0"/>
        <v>#REF!</v>
      </c>
      <c r="J21" s="11"/>
      <c r="L21" s="16" t="e">
        <f>HYPERLINK("#"&amp;#REF!&amp;"!A"&amp;ROW(#REF!),"D04431 →")</f>
        <v>#REF!</v>
      </c>
    </row>
    <row r="22" spans="1:12" ht="24.95" customHeight="1" x14ac:dyDescent="0.3">
      <c r="A22" s="6" t="s">
        <v>150</v>
      </c>
      <c r="B22" s="7" t="s">
        <v>151</v>
      </c>
      <c r="C22" s="7" t="s">
        <v>152</v>
      </c>
      <c r="D22" s="64">
        <v>10.16</v>
      </c>
      <c r="E22" s="26" t="s">
        <v>24</v>
      </c>
      <c r="F22" s="38" t="e">
        <f>ROUND(D22*#REF!,0)</f>
        <v>#REF!</v>
      </c>
      <c r="G22" s="38" t="e">
        <f>ROUND(D22*#REF!,0)</f>
        <v>#REF!</v>
      </c>
      <c r="H22" s="38" t="e">
        <f>ROUND(D22*#REF!,0)</f>
        <v>#REF!</v>
      </c>
      <c r="I22" s="44" t="e">
        <f t="shared" si="0"/>
        <v>#REF!</v>
      </c>
      <c r="J22" s="11"/>
      <c r="L22" s="16" t="e">
        <f>HYPERLINK("#"&amp;#REF!&amp;"!A"&amp;ROW(#REF!),"D04432 →")</f>
        <v>#REF!</v>
      </c>
    </row>
  </sheetData>
  <mergeCells count="1">
    <mergeCell ref="A1:J1"/>
  </mergeCells>
  <phoneticPr fontId="12" type="noConversion"/>
  <hyperlinks>
    <hyperlink ref="L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800-000000000000}"/>
    <hyperlink ref="K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800-000001000000}"/>
  </hyperlinks>
  <printOptions horizontalCentered="1"/>
  <pageMargins left="0.78740157480314965" right="0.78740157480314965" top="0.59055118110236215" bottom="0.59055118110236215" header="0" footer="0.39370078740157477"/>
  <pageSetup paperSize="9" scale="87" fitToWidth="0" fitToHeight="0" orientation="landscape" r:id="rId3"/>
  <headerFooter alignWithMargins="0">
    <oddFooter>&amp;C&amp;"굴림체,"&amp;9 - &amp;P -&amp;R&amp;"굴림체,"&amp;9 인천광역시 계양구청(건설과)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7"/>
  <sheetViews>
    <sheetView workbookViewId="0">
      <selection activeCell="A6" sqref="A6"/>
    </sheetView>
  </sheetViews>
  <sheetFormatPr defaultColWidth="9.125" defaultRowHeight="16.5" x14ac:dyDescent="0.3"/>
  <cols>
    <col min="1" max="1" width="4" style="3" customWidth="1"/>
    <col min="2" max="2" width="5.5" style="3" customWidth="1"/>
    <col min="3" max="4" width="16" style="3" customWidth="1"/>
    <col min="5" max="5" width="5.5" style="3" customWidth="1"/>
    <col min="6" max="6" width="16" style="3" customWidth="1"/>
    <col min="7" max="7" width="11.5" style="3" customWidth="1"/>
    <col min="8" max="8" width="10" style="3" customWidth="1"/>
    <col min="9" max="9" width="9.125" style="3" hidden="1" customWidth="1"/>
    <col min="10" max="10" width="9.125" style="14" customWidth="1"/>
    <col min="11" max="16384" width="9.125" style="3"/>
  </cols>
  <sheetData>
    <row r="1" spans="1:10" ht="25.35" customHeight="1" x14ac:dyDescent="0.3">
      <c r="A1" s="135" t="s">
        <v>341</v>
      </c>
      <c r="B1" s="109"/>
      <c r="C1" s="117"/>
      <c r="D1" s="117"/>
      <c r="E1" s="117"/>
      <c r="F1" s="117"/>
      <c r="G1" s="117"/>
      <c r="H1" s="117"/>
      <c r="I1" s="2" t="s">
        <v>102</v>
      </c>
      <c r="J1" s="27" t="s">
        <v>102</v>
      </c>
    </row>
    <row r="2" spans="1:10" ht="25.35" customHeight="1" x14ac:dyDescent="0.3">
      <c r="C2" s="19" t="s">
        <v>342</v>
      </c>
      <c r="D2" s="19" t="s">
        <v>343</v>
      </c>
      <c r="E2" s="133" t="s">
        <v>344</v>
      </c>
      <c r="F2" s="134"/>
      <c r="G2" s="133" t="s">
        <v>345</v>
      </c>
      <c r="H2" s="134"/>
      <c r="I2" s="17" t="str">
        <f ca="1">MID(CELL("filename",$A$1),FIND("]",CELL("filename",$A$1))+1,LEN(CELL("filename",$A$1)))</f>
        <v>환율및기초자료</v>
      </c>
    </row>
    <row r="3" spans="1:10" ht="25.35" customHeight="1" x14ac:dyDescent="0.3">
      <c r="C3" s="21">
        <v>1466</v>
      </c>
      <c r="D3" s="21">
        <v>1466</v>
      </c>
      <c r="E3" s="136">
        <v>1000</v>
      </c>
      <c r="F3" s="134"/>
      <c r="G3" s="137">
        <v>1000</v>
      </c>
      <c r="H3" s="134"/>
    </row>
    <row r="4" spans="1:10" ht="25.35" customHeight="1" x14ac:dyDescent="0.3">
      <c r="C4" s="20"/>
      <c r="D4" s="20"/>
      <c r="E4" s="20"/>
      <c r="F4" s="20"/>
      <c r="G4" s="20"/>
      <c r="H4" s="20"/>
    </row>
    <row r="5" spans="1:10" ht="25.35" customHeight="1" x14ac:dyDescent="0.3">
      <c r="A5" s="135" t="s">
        <v>346</v>
      </c>
      <c r="B5" s="109"/>
      <c r="C5" s="109"/>
      <c r="D5" s="109"/>
      <c r="E5" s="109"/>
      <c r="F5" s="109"/>
      <c r="G5" s="109"/>
      <c r="H5" s="109"/>
    </row>
    <row r="6" spans="1:10" ht="25.35" customHeight="1" x14ac:dyDescent="0.3">
      <c r="C6" s="22" t="s">
        <v>336</v>
      </c>
      <c r="D6" s="24" t="e">
        <f>#REF!</f>
        <v>#REF!</v>
      </c>
      <c r="E6" s="132" t="s">
        <v>347</v>
      </c>
      <c r="F6" s="117"/>
      <c r="G6" s="24" t="e">
        <f>ROUNDDOWN(D6*0.20833333334,1)</f>
        <v>#REF!</v>
      </c>
      <c r="H6" s="26" t="s">
        <v>335</v>
      </c>
      <c r="J6" s="16" t="e">
        <f>HYPERLINK("#"&amp;#REF!&amp;"!A"&amp;ROW(#REF!),"L00048 →")</f>
        <v>#REF!</v>
      </c>
    </row>
    <row r="7" spans="1:10" ht="25.35" customHeight="1" x14ac:dyDescent="0.3">
      <c r="C7" s="23" t="s">
        <v>338</v>
      </c>
      <c r="D7" s="25" t="e">
        <f>#REF!</f>
        <v>#REF!</v>
      </c>
      <c r="E7" s="133" t="s">
        <v>347</v>
      </c>
      <c r="F7" s="134"/>
      <c r="G7" s="25" t="e">
        <f>ROUNDDOWN(D7*0.20833333334,1)</f>
        <v>#REF!</v>
      </c>
      <c r="H7" s="19" t="s">
        <v>337</v>
      </c>
      <c r="J7" s="16" t="e">
        <f>HYPERLINK("#"&amp;#REF!&amp;"!A"&amp;ROW(#REF!),"L00049 →")</f>
        <v>#REF!</v>
      </c>
    </row>
    <row r="8" spans="1:10" ht="25.35" customHeight="1" x14ac:dyDescent="0.3">
      <c r="C8" s="23" t="s">
        <v>340</v>
      </c>
      <c r="D8" s="25" t="e">
        <f>#REF!</f>
        <v>#REF!</v>
      </c>
      <c r="E8" s="133" t="s">
        <v>347</v>
      </c>
      <c r="F8" s="134"/>
      <c r="G8" s="25" t="e">
        <f>ROUNDDOWN(D8*0.20833333334,1)</f>
        <v>#REF!</v>
      </c>
      <c r="H8" s="19" t="s">
        <v>339</v>
      </c>
      <c r="J8" s="16" t="e">
        <f>HYPERLINK("#"&amp;#REF!&amp;"!A"&amp;ROW(#REF!),"L00050 →")</f>
        <v>#REF!</v>
      </c>
    </row>
    <row r="9" spans="1:10" ht="25.35" customHeight="1" x14ac:dyDescent="0.3">
      <c r="C9" s="20"/>
      <c r="D9" s="20"/>
      <c r="E9" s="20"/>
      <c r="F9" s="20"/>
      <c r="G9" s="20"/>
      <c r="H9" s="20"/>
    </row>
    <row r="10" spans="1:10" ht="25.35" customHeight="1" x14ac:dyDescent="0.3">
      <c r="A10" s="135" t="s">
        <v>348</v>
      </c>
      <c r="B10" s="117"/>
      <c r="C10" s="117"/>
      <c r="D10" s="117"/>
      <c r="E10" s="117"/>
      <c r="F10" s="117"/>
      <c r="G10" s="117"/>
      <c r="H10" s="117"/>
    </row>
    <row r="11" spans="1:10" ht="25.35" customHeight="1" x14ac:dyDescent="0.3">
      <c r="B11" s="19" t="s">
        <v>349</v>
      </c>
      <c r="C11" s="19" t="s">
        <v>350</v>
      </c>
      <c r="D11" s="19" t="s">
        <v>351</v>
      </c>
      <c r="E11" s="19" t="s">
        <v>3</v>
      </c>
      <c r="F11" s="19" t="s">
        <v>352</v>
      </c>
      <c r="G11" s="19"/>
      <c r="H11" s="19" t="s">
        <v>8</v>
      </c>
    </row>
    <row r="12" spans="1:10" ht="25.35" customHeight="1" x14ac:dyDescent="0.3">
      <c r="B12" s="19" t="s">
        <v>353</v>
      </c>
      <c r="C12" s="23" t="s">
        <v>336</v>
      </c>
      <c r="D12" s="19"/>
      <c r="E12" s="19" t="s">
        <v>318</v>
      </c>
      <c r="F12" s="25" t="e">
        <f>#REF!</f>
        <v>#REF!</v>
      </c>
      <c r="G12" s="23"/>
      <c r="H12" s="19" t="s">
        <v>335</v>
      </c>
      <c r="J12" s="16" t="e">
        <f>HYPERLINK("#"&amp;#REF!&amp;"!A"&amp;ROW(#REF!),"L00048 →")</f>
        <v>#REF!</v>
      </c>
    </row>
    <row r="13" spans="1:10" ht="25.35" customHeight="1" x14ac:dyDescent="0.3">
      <c r="B13" s="19" t="s">
        <v>354</v>
      </c>
      <c r="C13" s="23" t="s">
        <v>338</v>
      </c>
      <c r="D13" s="19"/>
      <c r="E13" s="19" t="s">
        <v>318</v>
      </c>
      <c r="F13" s="25" t="e">
        <f>#REF!</f>
        <v>#REF!</v>
      </c>
      <c r="G13" s="23"/>
      <c r="H13" s="19" t="s">
        <v>337</v>
      </c>
      <c r="J13" s="16" t="e">
        <f>HYPERLINK("#"&amp;#REF!&amp;"!A"&amp;ROW(#REF!),"L00049 →")</f>
        <v>#REF!</v>
      </c>
    </row>
    <row r="14" spans="1:10" ht="25.35" customHeight="1" x14ac:dyDescent="0.3">
      <c r="B14" s="19" t="s">
        <v>355</v>
      </c>
      <c r="C14" s="23" t="s">
        <v>340</v>
      </c>
      <c r="D14" s="19"/>
      <c r="E14" s="19" t="s">
        <v>318</v>
      </c>
      <c r="F14" s="25" t="e">
        <f>#REF!</f>
        <v>#REF!</v>
      </c>
      <c r="G14" s="23"/>
      <c r="H14" s="19" t="s">
        <v>339</v>
      </c>
      <c r="J14" s="16" t="e">
        <f>HYPERLINK("#"&amp;#REF!&amp;"!A"&amp;ROW(#REF!),"L00050 →")</f>
        <v>#REF!</v>
      </c>
    </row>
    <row r="15" spans="1:10" ht="25.35" customHeight="1" x14ac:dyDescent="0.3">
      <c r="B15" s="19" t="s">
        <v>356</v>
      </c>
      <c r="C15" s="23" t="s">
        <v>205</v>
      </c>
      <c r="D15" s="19" t="s">
        <v>206</v>
      </c>
      <c r="E15" s="19" t="s">
        <v>207</v>
      </c>
      <c r="F15" s="25" t="e">
        <f>#REF!</f>
        <v>#REF!</v>
      </c>
      <c r="G15" s="23"/>
      <c r="H15" s="19" t="s">
        <v>204</v>
      </c>
      <c r="J15" s="16" t="e">
        <f>HYPERLINK("#"&amp;#REF!&amp;"!A"&amp;ROW(#REF!),"M00001 →")</f>
        <v>#REF!</v>
      </c>
    </row>
    <row r="16" spans="1:10" ht="25.35" customHeight="1" x14ac:dyDescent="0.3">
      <c r="B16" s="19" t="s">
        <v>357</v>
      </c>
      <c r="C16" s="23" t="s">
        <v>209</v>
      </c>
      <c r="D16" s="19" t="s">
        <v>210</v>
      </c>
      <c r="E16" s="19" t="s">
        <v>207</v>
      </c>
      <c r="F16" s="25" t="e">
        <f>#REF!</f>
        <v>#REF!</v>
      </c>
      <c r="G16" s="23"/>
      <c r="H16" s="19" t="s">
        <v>208</v>
      </c>
      <c r="J16" s="16" t="e">
        <f>HYPERLINK("#"&amp;#REF!&amp;"!A"&amp;ROW(#REF!),"M00002 →")</f>
        <v>#REF!</v>
      </c>
    </row>
    <row r="17" spans="2:8" ht="25.35" customHeight="1" x14ac:dyDescent="0.3">
      <c r="B17" s="20"/>
      <c r="C17" s="20"/>
      <c r="D17" s="20"/>
      <c r="E17" s="20"/>
      <c r="F17" s="20"/>
      <c r="G17" s="20"/>
      <c r="H17" s="20"/>
    </row>
  </sheetData>
  <mergeCells count="10">
    <mergeCell ref="E6:F6"/>
    <mergeCell ref="E7:F7"/>
    <mergeCell ref="E8:F8"/>
    <mergeCell ref="A10:H10"/>
    <mergeCell ref="A1:H1"/>
    <mergeCell ref="E2:F2"/>
    <mergeCell ref="G2:H2"/>
    <mergeCell ref="E3:F3"/>
    <mergeCell ref="G3:H3"/>
    <mergeCell ref="A5:H5"/>
  </mergeCells>
  <phoneticPr fontId="12" type="noConversion"/>
  <hyperlinks>
    <hyperlink ref="J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0900-000000000000}"/>
    <hyperlink ref="I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0900-000001000000}"/>
  </hyperlinks>
  <printOptions horizontalCentered="1"/>
  <pageMargins left="0.78740157480314965" right="0.78740157480314965" top="0.59055118110236215" bottom="0.55118110236220474" header="0" footer="0.35433070866141736"/>
  <pageSetup paperSize="9" fitToWidth="0" fitToHeight="0" orientation="landscape" r:id="rId3"/>
  <headerFooter alignWithMargins="0">
    <oddFooter>&amp;C&amp;"굴림체,"&amp;9 - &amp;P -&amp;R&amp;"굴림체,"&amp;9 인천광역시 계양구청(건설과)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44"/>
  <sheetViews>
    <sheetView view="pageBreakPreview" zoomScale="115" zoomScaleNormal="100" zoomScaleSheetLayoutView="115" workbookViewId="0">
      <pane ySplit="3" topLeftCell="A4" activePane="bottomLeft" state="frozenSplit"/>
      <selection activeCell="C8" sqref="C8"/>
      <selection pane="bottomLeft" activeCell="J4" sqref="J4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8" width="11.5" style="3" customWidth="1"/>
    <col min="9" max="9" width="9.125" style="3" hidden="1" customWidth="1"/>
    <col min="10" max="10" width="9.125" style="14" customWidth="1"/>
    <col min="11" max="16384" width="9.125" style="3"/>
  </cols>
  <sheetData>
    <row r="1" spans="1:10" ht="24.95" customHeight="1" x14ac:dyDescent="0.3">
      <c r="A1" s="108" t="s">
        <v>202</v>
      </c>
      <c r="B1" s="109"/>
      <c r="C1" s="109"/>
      <c r="D1" s="109"/>
      <c r="E1" s="109"/>
      <c r="F1" s="109"/>
      <c r="G1" s="109"/>
      <c r="H1" s="109"/>
      <c r="I1" s="2" t="s">
        <v>102</v>
      </c>
      <c r="J1" s="15" t="s">
        <v>102</v>
      </c>
    </row>
    <row r="2" spans="1:10" ht="21.75" customHeight="1" x14ac:dyDescent="0.3">
      <c r="A2" s="1"/>
      <c r="I2" s="17" t="str">
        <f ca="1">MID(CELL("filename",$A$1),FIND("]",CELL("filename",$A$1))+1,LEN(CELL("filename",$A$1)))</f>
        <v>재료비수량금액집계표</v>
      </c>
    </row>
    <row r="3" spans="1:10" ht="21.75" customHeight="1" x14ac:dyDescent="0.3">
      <c r="A3" s="5" t="s">
        <v>0</v>
      </c>
      <c r="B3" s="5" t="s">
        <v>1</v>
      </c>
      <c r="C3" s="5" t="s">
        <v>2</v>
      </c>
      <c r="D3" s="5" t="s">
        <v>372</v>
      </c>
      <c r="E3" s="5" t="s">
        <v>3</v>
      </c>
      <c r="F3" s="5" t="s">
        <v>203</v>
      </c>
      <c r="G3" s="5" t="s">
        <v>373</v>
      </c>
      <c r="H3" s="10" t="s">
        <v>8</v>
      </c>
      <c r="J3" s="16" t="str">
        <f>HYPERLINK("#'〓 목 차 〓'!B2","목차 →")</f>
        <v>목차 →</v>
      </c>
    </row>
    <row r="4" spans="1:10" ht="21.75" customHeight="1" x14ac:dyDescent="0.3">
      <c r="A4" s="6" t="s">
        <v>211</v>
      </c>
      <c r="B4" s="7" t="s">
        <v>212</v>
      </c>
      <c r="C4" s="7" t="s">
        <v>213</v>
      </c>
      <c r="D4" s="64">
        <v>31.99</v>
      </c>
      <c r="E4" s="26" t="s">
        <v>16</v>
      </c>
      <c r="F4" s="28" t="e">
        <f>#REF!</f>
        <v>#REF!</v>
      </c>
      <c r="G4" s="44" t="e">
        <f t="shared" ref="G4:G44" si="0">ROUND(D4*F4,0)</f>
        <v>#REF!</v>
      </c>
      <c r="H4" s="11"/>
      <c r="J4" s="16" t="e">
        <f>HYPERLINK("#"&amp;#REF!&amp;"!A"&amp;ROW(#REF!),"M00093 →")</f>
        <v>#REF!</v>
      </c>
    </row>
    <row r="5" spans="1:10" ht="21.75" customHeight="1" x14ac:dyDescent="0.3">
      <c r="A5" s="6" t="s">
        <v>214</v>
      </c>
      <c r="B5" s="7" t="s">
        <v>215</v>
      </c>
      <c r="C5" s="7" t="s">
        <v>216</v>
      </c>
      <c r="D5" s="64">
        <v>34.46</v>
      </c>
      <c r="E5" s="26" t="s">
        <v>16</v>
      </c>
      <c r="F5" s="28" t="e">
        <f>#REF!</f>
        <v>#REF!</v>
      </c>
      <c r="G5" s="44" t="e">
        <f t="shared" si="0"/>
        <v>#REF!</v>
      </c>
      <c r="H5" s="11"/>
      <c r="J5" s="16" t="e">
        <f>HYPERLINK("#"&amp;#REF!&amp;"!A"&amp;ROW(#REF!),"M00094 →")</f>
        <v>#REF!</v>
      </c>
    </row>
    <row r="6" spans="1:10" ht="21.75" customHeight="1" x14ac:dyDescent="0.3">
      <c r="A6" s="6" t="s">
        <v>217</v>
      </c>
      <c r="B6" s="7" t="s">
        <v>218</v>
      </c>
      <c r="C6" s="7" t="s">
        <v>219</v>
      </c>
      <c r="D6" s="64">
        <v>12.65</v>
      </c>
      <c r="E6" s="26" t="s">
        <v>220</v>
      </c>
      <c r="F6" s="28" t="e">
        <f>#REF!</f>
        <v>#REF!</v>
      </c>
      <c r="G6" s="44" t="e">
        <f t="shared" si="0"/>
        <v>#REF!</v>
      </c>
      <c r="H6" s="11"/>
      <c r="J6" s="16" t="e">
        <f>HYPERLINK("#"&amp;#REF!&amp;"!A"&amp;ROW(#REF!),"M00159 →")</f>
        <v>#REF!</v>
      </c>
    </row>
    <row r="7" spans="1:10" ht="21.75" customHeight="1" x14ac:dyDescent="0.3">
      <c r="A7" s="6" t="s">
        <v>221</v>
      </c>
      <c r="B7" s="7" t="s">
        <v>222</v>
      </c>
      <c r="C7" s="7"/>
      <c r="D7" s="64">
        <v>11.05</v>
      </c>
      <c r="E7" s="26" t="s">
        <v>223</v>
      </c>
      <c r="F7" s="28" t="e">
        <f>#REF!</f>
        <v>#REF!</v>
      </c>
      <c r="G7" s="44" t="e">
        <f t="shared" si="0"/>
        <v>#REF!</v>
      </c>
      <c r="H7" s="11"/>
      <c r="J7" s="16" t="e">
        <f>HYPERLINK("#"&amp;#REF!&amp;"!A"&amp;ROW(#REF!),"M01826 →")</f>
        <v>#REF!</v>
      </c>
    </row>
    <row r="8" spans="1:10" ht="21.75" customHeight="1" x14ac:dyDescent="0.3">
      <c r="A8" s="6" t="s">
        <v>224</v>
      </c>
      <c r="B8" s="7" t="s">
        <v>225</v>
      </c>
      <c r="C8" s="7" t="s">
        <v>226</v>
      </c>
      <c r="D8" s="64">
        <v>48</v>
      </c>
      <c r="E8" s="26" t="s">
        <v>38</v>
      </c>
      <c r="F8" s="28" t="e">
        <f>#REF!</f>
        <v>#REF!</v>
      </c>
      <c r="G8" s="44" t="e">
        <f t="shared" si="0"/>
        <v>#REF!</v>
      </c>
      <c r="H8" s="11"/>
      <c r="J8" s="16" t="e">
        <f>HYPERLINK("#"&amp;#REF!&amp;"!A"&amp;ROW(#REF!),"M04351 →")</f>
        <v>#REF!</v>
      </c>
    </row>
    <row r="9" spans="1:10" ht="21.75" customHeight="1" x14ac:dyDescent="0.3">
      <c r="A9" s="6" t="s">
        <v>227</v>
      </c>
      <c r="B9" s="7" t="s">
        <v>228</v>
      </c>
      <c r="C9" s="7" t="s">
        <v>229</v>
      </c>
      <c r="D9" s="64">
        <v>10.16</v>
      </c>
      <c r="E9" s="26" t="s">
        <v>16</v>
      </c>
      <c r="F9" s="28" t="e">
        <f>#REF!</f>
        <v>#REF!</v>
      </c>
      <c r="G9" s="44" t="e">
        <f t="shared" si="0"/>
        <v>#REF!</v>
      </c>
      <c r="H9" s="11"/>
      <c r="J9" s="16" t="e">
        <f>HYPERLINK("#"&amp;#REF!&amp;"!A"&amp;ROW(#REF!),"M06507 →")</f>
        <v>#REF!</v>
      </c>
    </row>
    <row r="10" spans="1:10" ht="21.75" customHeight="1" x14ac:dyDescent="0.3">
      <c r="A10" s="6" t="s">
        <v>230</v>
      </c>
      <c r="B10" s="7" t="s">
        <v>231</v>
      </c>
      <c r="C10" s="7" t="s">
        <v>232</v>
      </c>
      <c r="D10" s="64">
        <v>18</v>
      </c>
      <c r="E10" s="26" t="s">
        <v>38</v>
      </c>
      <c r="F10" s="28" t="e">
        <f>#REF!</f>
        <v>#REF!</v>
      </c>
      <c r="G10" s="44" t="e">
        <f t="shared" si="0"/>
        <v>#REF!</v>
      </c>
      <c r="H10" s="11"/>
      <c r="J10" s="16" t="e">
        <f>HYPERLINK("#"&amp;#REF!&amp;"!A"&amp;ROW(#REF!),"M06509 →")</f>
        <v>#REF!</v>
      </c>
    </row>
    <row r="11" spans="1:10" ht="21.75" customHeight="1" x14ac:dyDescent="0.3">
      <c r="A11" s="6" t="s">
        <v>233</v>
      </c>
      <c r="B11" s="7" t="s">
        <v>231</v>
      </c>
      <c r="C11" s="7" t="s">
        <v>226</v>
      </c>
      <c r="D11" s="64">
        <v>18</v>
      </c>
      <c r="E11" s="26" t="s">
        <v>38</v>
      </c>
      <c r="F11" s="28" t="e">
        <f>#REF!</f>
        <v>#REF!</v>
      </c>
      <c r="G11" s="44" t="e">
        <f t="shared" si="0"/>
        <v>#REF!</v>
      </c>
      <c r="H11" s="11"/>
      <c r="J11" s="16" t="e">
        <f>HYPERLINK("#"&amp;#REF!&amp;"!A"&amp;ROW(#REF!),"M06513 →")</f>
        <v>#REF!</v>
      </c>
    </row>
    <row r="12" spans="1:10" ht="21.75" customHeight="1" x14ac:dyDescent="0.3">
      <c r="A12" s="6" t="s">
        <v>234</v>
      </c>
      <c r="B12" s="7" t="s">
        <v>235</v>
      </c>
      <c r="C12" s="7" t="s">
        <v>236</v>
      </c>
      <c r="D12" s="64">
        <v>1.46</v>
      </c>
      <c r="E12" s="26" t="s">
        <v>237</v>
      </c>
      <c r="F12" s="28" t="e">
        <f>#REF!</f>
        <v>#REF!</v>
      </c>
      <c r="G12" s="44" t="e">
        <f t="shared" si="0"/>
        <v>#REF!</v>
      </c>
      <c r="H12" s="11"/>
      <c r="J12" s="16" t="e">
        <f>HYPERLINK("#"&amp;#REF!&amp;"!A"&amp;ROW(#REF!),"M06596 →")</f>
        <v>#REF!</v>
      </c>
    </row>
    <row r="13" spans="1:10" ht="21.75" hidden="1" customHeight="1" x14ac:dyDescent="0.3">
      <c r="A13" s="6" t="s">
        <v>238</v>
      </c>
      <c r="B13" s="7" t="s">
        <v>239</v>
      </c>
      <c r="C13" s="7" t="s">
        <v>240</v>
      </c>
      <c r="D13" s="64">
        <v>6</v>
      </c>
      <c r="E13" s="26" t="s">
        <v>237</v>
      </c>
      <c r="F13" s="28" t="e">
        <f>#REF!</f>
        <v>#REF!</v>
      </c>
      <c r="G13" s="44" t="e">
        <f t="shared" si="0"/>
        <v>#REF!</v>
      </c>
      <c r="H13" s="11"/>
      <c r="J13" s="16" t="e">
        <f>HYPERLINK("#"&amp;#REF!&amp;"!A"&amp;ROW(#REF!),"M06597 →")</f>
        <v>#REF!</v>
      </c>
    </row>
    <row r="14" spans="1:10" ht="21.75" hidden="1" customHeight="1" x14ac:dyDescent="0.3">
      <c r="A14" s="6" t="s">
        <v>241</v>
      </c>
      <c r="B14" s="7" t="s">
        <v>242</v>
      </c>
      <c r="C14" s="7" t="s">
        <v>243</v>
      </c>
      <c r="D14" s="64">
        <v>2</v>
      </c>
      <c r="E14" s="26" t="s">
        <v>244</v>
      </c>
      <c r="F14" s="28" t="e">
        <f>#REF!</f>
        <v>#REF!</v>
      </c>
      <c r="G14" s="44" t="e">
        <f t="shared" si="0"/>
        <v>#REF!</v>
      </c>
      <c r="H14" s="11"/>
      <c r="J14" s="16" t="e">
        <f>HYPERLINK("#"&amp;#REF!&amp;"!A"&amp;ROW(#REF!),"M06598 →")</f>
        <v>#REF!</v>
      </c>
    </row>
    <row r="15" spans="1:10" ht="21.75" customHeight="1" x14ac:dyDescent="0.3">
      <c r="A15" s="6" t="s">
        <v>245</v>
      </c>
      <c r="B15" s="7" t="s">
        <v>246</v>
      </c>
      <c r="C15" s="7" t="s">
        <v>247</v>
      </c>
      <c r="D15" s="64">
        <v>0.14000000000000001</v>
      </c>
      <c r="E15" s="26" t="s">
        <v>248</v>
      </c>
      <c r="F15" s="28" t="e">
        <f>#REF!</f>
        <v>#REF!</v>
      </c>
      <c r="G15" s="44" t="e">
        <f t="shared" si="0"/>
        <v>#REF!</v>
      </c>
      <c r="H15" s="11"/>
      <c r="J15" s="16" t="e">
        <f>HYPERLINK("#"&amp;#REF!&amp;"!A"&amp;ROW(#REF!),"M06599 →")</f>
        <v>#REF!</v>
      </c>
    </row>
    <row r="16" spans="1:10" ht="21.75" customHeight="1" x14ac:dyDescent="0.3">
      <c r="A16" s="6" t="s">
        <v>249</v>
      </c>
      <c r="B16" s="7" t="s">
        <v>250</v>
      </c>
      <c r="C16" s="76" t="s">
        <v>576</v>
      </c>
      <c r="D16" s="64">
        <v>165.21</v>
      </c>
      <c r="E16" s="26" t="s">
        <v>35</v>
      </c>
      <c r="F16" s="28" t="e">
        <f>#REF!</f>
        <v>#REF!</v>
      </c>
      <c r="G16" s="44" t="e">
        <f t="shared" si="0"/>
        <v>#REF!</v>
      </c>
      <c r="H16" s="11"/>
      <c r="J16" s="16" t="e">
        <f>HYPERLINK("#"&amp;#REF!&amp;"!A"&amp;ROW(#REF!),"M06600 →")</f>
        <v>#REF!</v>
      </c>
    </row>
    <row r="17" spans="1:10" ht="21.75" hidden="1" customHeight="1" x14ac:dyDescent="0.3">
      <c r="A17" s="6" t="s">
        <v>251</v>
      </c>
      <c r="B17" s="7" t="s">
        <v>252</v>
      </c>
      <c r="C17" s="7" t="s">
        <v>253</v>
      </c>
      <c r="D17" s="64">
        <v>10</v>
      </c>
      <c r="E17" s="26" t="s">
        <v>254</v>
      </c>
      <c r="F17" s="28" t="e">
        <f>#REF!</f>
        <v>#REF!</v>
      </c>
      <c r="G17" s="44" t="e">
        <f t="shared" si="0"/>
        <v>#REF!</v>
      </c>
      <c r="H17" s="11"/>
      <c r="J17" s="16" t="e">
        <f>HYPERLINK("#"&amp;#REF!&amp;"!A"&amp;ROW(#REF!),"M06601 →")</f>
        <v>#REF!</v>
      </c>
    </row>
    <row r="18" spans="1:10" ht="21.75" customHeight="1" x14ac:dyDescent="0.3">
      <c r="A18" s="6" t="s">
        <v>255</v>
      </c>
      <c r="B18" s="7" t="s">
        <v>256</v>
      </c>
      <c r="C18" s="7" t="s">
        <v>257</v>
      </c>
      <c r="D18" s="64">
        <v>0.6</v>
      </c>
      <c r="E18" s="26" t="s">
        <v>258</v>
      </c>
      <c r="F18" s="28" t="e">
        <f>#REF!</f>
        <v>#REF!</v>
      </c>
      <c r="G18" s="44" t="e">
        <f t="shared" si="0"/>
        <v>#REF!</v>
      </c>
      <c r="H18" s="11"/>
      <c r="J18" s="16" t="e">
        <f>HYPERLINK("#"&amp;#REF!&amp;"!A"&amp;ROW(#REF!),"M06602 →")</f>
        <v>#REF!</v>
      </c>
    </row>
    <row r="19" spans="1:10" ht="21.75" customHeight="1" x14ac:dyDescent="0.3">
      <c r="A19" s="6" t="s">
        <v>259</v>
      </c>
      <c r="B19" s="7" t="s">
        <v>260</v>
      </c>
      <c r="C19" s="7" t="s">
        <v>261</v>
      </c>
      <c r="D19" s="64">
        <v>6.1</v>
      </c>
      <c r="E19" s="26" t="s">
        <v>24</v>
      </c>
      <c r="F19" s="28" t="e">
        <f>#REF!</f>
        <v>#REF!</v>
      </c>
      <c r="G19" s="44" t="e">
        <f t="shared" si="0"/>
        <v>#REF!</v>
      </c>
      <c r="H19" s="11"/>
      <c r="J19" s="16" t="e">
        <f>HYPERLINK("#"&amp;#REF!&amp;"!A"&amp;ROW(#REF!),"M06603 →")</f>
        <v>#REF!</v>
      </c>
    </row>
    <row r="20" spans="1:10" ht="21.75" hidden="1" customHeight="1" x14ac:dyDescent="0.3">
      <c r="A20" s="6" t="s">
        <v>262</v>
      </c>
      <c r="B20" s="7" t="s">
        <v>263</v>
      </c>
      <c r="C20" s="7" t="s">
        <v>264</v>
      </c>
      <c r="D20" s="64">
        <v>2</v>
      </c>
      <c r="E20" s="26" t="s">
        <v>237</v>
      </c>
      <c r="F20" s="28" t="e">
        <f>#REF!</f>
        <v>#REF!</v>
      </c>
      <c r="G20" s="44" t="e">
        <f t="shared" si="0"/>
        <v>#REF!</v>
      </c>
      <c r="H20" s="11"/>
      <c r="J20" s="16" t="e">
        <f>HYPERLINK("#"&amp;#REF!&amp;"!A"&amp;ROW(#REF!),"M06604 →")</f>
        <v>#REF!</v>
      </c>
    </row>
    <row r="21" spans="1:10" ht="21.75" customHeight="1" x14ac:dyDescent="0.3">
      <c r="A21" s="6" t="s">
        <v>265</v>
      </c>
      <c r="B21" s="7" t="s">
        <v>11</v>
      </c>
      <c r="C21" s="7" t="s">
        <v>266</v>
      </c>
      <c r="D21" s="64">
        <v>16.190000000000001</v>
      </c>
      <c r="E21" s="26" t="s">
        <v>43</v>
      </c>
      <c r="F21" s="28" t="e">
        <f>#REF!</f>
        <v>#REF!</v>
      </c>
      <c r="G21" s="44" t="e">
        <f t="shared" si="0"/>
        <v>#REF!</v>
      </c>
      <c r="H21" s="11"/>
      <c r="J21" s="16" t="e">
        <f>HYPERLINK("#"&amp;#REF!&amp;"!A"&amp;ROW(#REF!),"M06605 →")</f>
        <v>#REF!</v>
      </c>
    </row>
    <row r="22" spans="1:10" ht="21.75" hidden="1" customHeight="1" x14ac:dyDescent="0.3">
      <c r="A22" s="6" t="s">
        <v>267</v>
      </c>
      <c r="B22" s="7" t="s">
        <v>268</v>
      </c>
      <c r="C22" s="76" t="s">
        <v>577</v>
      </c>
      <c r="D22" s="64">
        <v>2</v>
      </c>
      <c r="E22" s="26" t="s">
        <v>48</v>
      </c>
      <c r="F22" s="28" t="e">
        <f>#REF!</f>
        <v>#REF!</v>
      </c>
      <c r="G22" s="44" t="e">
        <f t="shared" si="0"/>
        <v>#REF!</v>
      </c>
      <c r="H22" s="11"/>
      <c r="J22" s="16" t="e">
        <f>HYPERLINK("#"&amp;#REF!&amp;"!A"&amp;ROW(#REF!),"M06606 →")</f>
        <v>#REF!</v>
      </c>
    </row>
    <row r="23" spans="1:10" ht="21.75" customHeight="1" x14ac:dyDescent="0.3">
      <c r="A23" s="6" t="s">
        <v>269</v>
      </c>
      <c r="B23" s="7" t="s">
        <v>270</v>
      </c>
      <c r="C23" s="7" t="s">
        <v>271</v>
      </c>
      <c r="D23" s="64">
        <v>48</v>
      </c>
      <c r="E23" s="26" t="s">
        <v>254</v>
      </c>
      <c r="F23" s="28" t="e">
        <f>#REF!</f>
        <v>#REF!</v>
      </c>
      <c r="G23" s="44" t="e">
        <f t="shared" si="0"/>
        <v>#REF!</v>
      </c>
      <c r="H23" s="11"/>
      <c r="J23" s="16" t="e">
        <f>HYPERLINK("#"&amp;#REF!&amp;"!A"&amp;ROW(#REF!),"M06607 →")</f>
        <v>#REF!</v>
      </c>
    </row>
    <row r="24" spans="1:10" ht="21.75" customHeight="1" x14ac:dyDescent="0.3">
      <c r="A24" s="6" t="s">
        <v>272</v>
      </c>
      <c r="B24" s="7" t="s">
        <v>270</v>
      </c>
      <c r="C24" s="7" t="s">
        <v>273</v>
      </c>
      <c r="D24" s="64">
        <v>48</v>
      </c>
      <c r="E24" s="26" t="s">
        <v>254</v>
      </c>
      <c r="F24" s="28" t="e">
        <f>#REF!</f>
        <v>#REF!</v>
      </c>
      <c r="G24" s="44" t="e">
        <f t="shared" si="0"/>
        <v>#REF!</v>
      </c>
      <c r="H24" s="11"/>
      <c r="J24" s="16" t="e">
        <f>HYPERLINK("#"&amp;#REF!&amp;"!A"&amp;ROW(#REF!),"M06608 →")</f>
        <v>#REF!</v>
      </c>
    </row>
    <row r="25" spans="1:10" ht="21.75" hidden="1" customHeight="1" x14ac:dyDescent="0.3">
      <c r="A25" s="6" t="s">
        <v>274</v>
      </c>
      <c r="B25" s="7" t="s">
        <v>275</v>
      </c>
      <c r="C25" s="7" t="s">
        <v>226</v>
      </c>
      <c r="D25" s="64">
        <v>4.8</v>
      </c>
      <c r="E25" s="26" t="s">
        <v>248</v>
      </c>
      <c r="F25" s="28" t="e">
        <f>#REF!</f>
        <v>#REF!</v>
      </c>
      <c r="G25" s="44" t="e">
        <f t="shared" si="0"/>
        <v>#REF!</v>
      </c>
      <c r="H25" s="11"/>
      <c r="J25" s="16" t="e">
        <f>HYPERLINK("#"&amp;#REF!&amp;"!A"&amp;ROW(#REF!),"M06610 →")</f>
        <v>#REF!</v>
      </c>
    </row>
    <row r="26" spans="1:10" ht="21.75" hidden="1" customHeight="1" x14ac:dyDescent="0.3">
      <c r="A26" s="6" t="s">
        <v>276</v>
      </c>
      <c r="B26" s="7" t="s">
        <v>275</v>
      </c>
      <c r="C26" s="7" t="s">
        <v>277</v>
      </c>
      <c r="D26" s="64">
        <v>4.8</v>
      </c>
      <c r="E26" s="26" t="s">
        <v>248</v>
      </c>
      <c r="F26" s="28" t="e">
        <f>#REF!</f>
        <v>#REF!</v>
      </c>
      <c r="G26" s="44" t="e">
        <f t="shared" si="0"/>
        <v>#REF!</v>
      </c>
      <c r="H26" s="11"/>
      <c r="J26" s="16" t="e">
        <f>HYPERLINK("#"&amp;#REF!&amp;"!A"&amp;ROW(#REF!),"M06611 →")</f>
        <v>#REF!</v>
      </c>
    </row>
    <row r="27" spans="1:10" ht="21.75" hidden="1" customHeight="1" x14ac:dyDescent="0.3">
      <c r="A27" s="6" t="s">
        <v>278</v>
      </c>
      <c r="B27" s="7" t="s">
        <v>275</v>
      </c>
      <c r="C27" s="7" t="s">
        <v>279</v>
      </c>
      <c r="D27" s="64">
        <v>4.8</v>
      </c>
      <c r="E27" s="26" t="s">
        <v>248</v>
      </c>
      <c r="F27" s="28" t="e">
        <f>#REF!</f>
        <v>#REF!</v>
      </c>
      <c r="G27" s="44" t="e">
        <f t="shared" si="0"/>
        <v>#REF!</v>
      </c>
      <c r="H27" s="11"/>
      <c r="J27" s="16" t="e">
        <f>HYPERLINK("#"&amp;#REF!&amp;"!A"&amp;ROW(#REF!),"M06612 →")</f>
        <v>#REF!</v>
      </c>
    </row>
    <row r="28" spans="1:10" ht="21.75" hidden="1" customHeight="1" x14ac:dyDescent="0.3">
      <c r="A28" s="6" t="s">
        <v>280</v>
      </c>
      <c r="B28" s="7" t="s">
        <v>275</v>
      </c>
      <c r="C28" s="7" t="s">
        <v>281</v>
      </c>
      <c r="D28" s="64">
        <v>4.8</v>
      </c>
      <c r="E28" s="26" t="s">
        <v>248</v>
      </c>
      <c r="F28" s="28" t="e">
        <f>#REF!</f>
        <v>#REF!</v>
      </c>
      <c r="G28" s="44" t="e">
        <f t="shared" si="0"/>
        <v>#REF!</v>
      </c>
      <c r="H28" s="11"/>
      <c r="J28" s="16" t="e">
        <f>HYPERLINK("#"&amp;#REF!&amp;"!A"&amp;ROW(#REF!),"M06613 →")</f>
        <v>#REF!</v>
      </c>
    </row>
    <row r="29" spans="1:10" ht="21.75" customHeight="1" x14ac:dyDescent="0.3">
      <c r="A29" s="6" t="s">
        <v>282</v>
      </c>
      <c r="B29" s="7" t="s">
        <v>231</v>
      </c>
      <c r="C29" s="7" t="s">
        <v>232</v>
      </c>
      <c r="D29" s="64">
        <v>3.06</v>
      </c>
      <c r="E29" s="26" t="s">
        <v>248</v>
      </c>
      <c r="F29" s="28" t="e">
        <f>#REF!</f>
        <v>#REF!</v>
      </c>
      <c r="G29" s="44" t="e">
        <f t="shared" si="0"/>
        <v>#REF!</v>
      </c>
      <c r="H29" s="11"/>
      <c r="J29" s="16" t="e">
        <f>HYPERLINK("#"&amp;#REF!&amp;"!A"&amp;ROW(#REF!),"M06614 →")</f>
        <v>#REF!</v>
      </c>
    </row>
    <row r="30" spans="1:10" ht="21.75" customHeight="1" x14ac:dyDescent="0.3">
      <c r="A30" s="6" t="s">
        <v>283</v>
      </c>
      <c r="B30" s="7" t="s">
        <v>231</v>
      </c>
      <c r="C30" s="7" t="s">
        <v>226</v>
      </c>
      <c r="D30" s="64">
        <v>3.06</v>
      </c>
      <c r="E30" s="26" t="s">
        <v>248</v>
      </c>
      <c r="F30" s="28" t="e">
        <f>#REF!</f>
        <v>#REF!</v>
      </c>
      <c r="G30" s="44" t="e">
        <f t="shared" si="0"/>
        <v>#REF!</v>
      </c>
      <c r="H30" s="11"/>
      <c r="J30" s="16" t="e">
        <f>HYPERLINK("#"&amp;#REF!&amp;"!A"&amp;ROW(#REF!),"M06615 →")</f>
        <v>#REF!</v>
      </c>
    </row>
    <row r="31" spans="1:10" ht="21.75" customHeight="1" x14ac:dyDescent="0.3">
      <c r="A31" s="6" t="s">
        <v>284</v>
      </c>
      <c r="B31" s="7" t="s">
        <v>285</v>
      </c>
      <c r="C31" s="7" t="s">
        <v>232</v>
      </c>
      <c r="D31" s="64">
        <v>18</v>
      </c>
      <c r="E31" s="26" t="s">
        <v>48</v>
      </c>
      <c r="F31" s="28" t="e">
        <f>#REF!</f>
        <v>#REF!</v>
      </c>
      <c r="G31" s="44" t="e">
        <f t="shared" si="0"/>
        <v>#REF!</v>
      </c>
      <c r="H31" s="11"/>
      <c r="J31" s="16" t="e">
        <f>HYPERLINK("#"&amp;#REF!&amp;"!A"&amp;ROW(#REF!),"M06616 →")</f>
        <v>#REF!</v>
      </c>
    </row>
    <row r="32" spans="1:10" ht="21.75" customHeight="1" x14ac:dyDescent="0.3">
      <c r="A32" s="6" t="s">
        <v>286</v>
      </c>
      <c r="B32" s="7" t="s">
        <v>285</v>
      </c>
      <c r="C32" s="7" t="s">
        <v>226</v>
      </c>
      <c r="D32" s="64">
        <v>18</v>
      </c>
      <c r="E32" s="26" t="s">
        <v>48</v>
      </c>
      <c r="F32" s="28" t="e">
        <f>#REF!</f>
        <v>#REF!</v>
      </c>
      <c r="G32" s="44" t="e">
        <f t="shared" si="0"/>
        <v>#REF!</v>
      </c>
      <c r="H32" s="11"/>
      <c r="J32" s="16" t="e">
        <f>HYPERLINK("#"&amp;#REF!&amp;"!A"&amp;ROW(#REF!),"M06617 →")</f>
        <v>#REF!</v>
      </c>
    </row>
    <row r="33" spans="1:10" ht="21.75" customHeight="1" x14ac:dyDescent="0.3">
      <c r="A33" s="6" t="s">
        <v>287</v>
      </c>
      <c r="B33" s="7" t="s">
        <v>288</v>
      </c>
      <c r="C33" s="7" t="s">
        <v>289</v>
      </c>
      <c r="D33" s="64">
        <v>14.64</v>
      </c>
      <c r="E33" s="26" t="s">
        <v>220</v>
      </c>
      <c r="F33" s="28" t="e">
        <f>#REF!</f>
        <v>#REF!</v>
      </c>
      <c r="G33" s="44" t="e">
        <f t="shared" si="0"/>
        <v>#REF!</v>
      </c>
      <c r="H33" s="11"/>
      <c r="J33" s="16" t="e">
        <f>HYPERLINK("#"&amp;#REF!&amp;"!A"&amp;ROW(#REF!),"M06618 →")</f>
        <v>#REF!</v>
      </c>
    </row>
    <row r="34" spans="1:10" ht="21.75" customHeight="1" x14ac:dyDescent="0.3">
      <c r="A34" s="6" t="s">
        <v>290</v>
      </c>
      <c r="B34" s="7" t="s">
        <v>291</v>
      </c>
      <c r="C34" s="7" t="s">
        <v>292</v>
      </c>
      <c r="D34" s="64">
        <v>501.22</v>
      </c>
      <c r="E34" s="26" t="s">
        <v>293</v>
      </c>
      <c r="F34" s="28" t="e">
        <f>#REF!</f>
        <v>#REF!</v>
      </c>
      <c r="G34" s="44" t="e">
        <f t="shared" si="0"/>
        <v>#REF!</v>
      </c>
      <c r="H34" s="11"/>
      <c r="J34" s="16" t="e">
        <f>HYPERLINK("#"&amp;#REF!&amp;"!A"&amp;ROW(#REF!),"M06619 →")</f>
        <v>#REF!</v>
      </c>
    </row>
    <row r="35" spans="1:10" ht="21.75" customHeight="1" x14ac:dyDescent="0.3">
      <c r="A35" s="6" t="s">
        <v>294</v>
      </c>
      <c r="B35" s="7" t="s">
        <v>42</v>
      </c>
      <c r="C35" s="7"/>
      <c r="D35" s="64">
        <v>0.6</v>
      </c>
      <c r="E35" s="26" t="s">
        <v>223</v>
      </c>
      <c r="F35" s="28" t="e">
        <f>#REF!</f>
        <v>#REF!</v>
      </c>
      <c r="G35" s="44" t="e">
        <f t="shared" si="0"/>
        <v>#REF!</v>
      </c>
      <c r="H35" s="11"/>
      <c r="J35" s="16" t="e">
        <f>HYPERLINK("#"&amp;#REF!&amp;"!A"&amp;ROW(#REF!),"M06620 →")</f>
        <v>#REF!</v>
      </c>
    </row>
    <row r="36" spans="1:10" ht="21.75" hidden="1" customHeight="1" x14ac:dyDescent="0.3">
      <c r="A36" s="6" t="s">
        <v>295</v>
      </c>
      <c r="B36" s="7" t="s">
        <v>296</v>
      </c>
      <c r="C36" s="7" t="s">
        <v>297</v>
      </c>
      <c r="D36" s="64">
        <v>0.9</v>
      </c>
      <c r="E36" s="26" t="s">
        <v>258</v>
      </c>
      <c r="F36" s="28" t="e">
        <f>#REF!</f>
        <v>#REF!</v>
      </c>
      <c r="G36" s="44" t="e">
        <f t="shared" si="0"/>
        <v>#REF!</v>
      </c>
      <c r="H36" s="11"/>
      <c r="J36" s="16" t="e">
        <f>HYPERLINK("#"&amp;#REF!&amp;"!A"&amp;ROW(#REF!),"M06621 →")</f>
        <v>#REF!</v>
      </c>
    </row>
    <row r="37" spans="1:10" ht="21.75" hidden="1" customHeight="1" x14ac:dyDescent="0.3">
      <c r="A37" s="6" t="s">
        <v>298</v>
      </c>
      <c r="B37" s="7" t="s">
        <v>299</v>
      </c>
      <c r="C37" s="7" t="s">
        <v>300</v>
      </c>
      <c r="D37" s="64">
        <v>9.06</v>
      </c>
      <c r="E37" s="26" t="s">
        <v>223</v>
      </c>
      <c r="F37" s="28" t="e">
        <f>#REF!</f>
        <v>#REF!</v>
      </c>
      <c r="G37" s="44" t="e">
        <f t="shared" si="0"/>
        <v>#REF!</v>
      </c>
      <c r="H37" s="11"/>
      <c r="J37" s="16" t="e">
        <f>HYPERLINK("#"&amp;#REF!&amp;"!A"&amp;ROW(#REF!),"M06622 →")</f>
        <v>#REF!</v>
      </c>
    </row>
    <row r="38" spans="1:10" ht="21.75" hidden="1" customHeight="1" x14ac:dyDescent="0.3">
      <c r="A38" s="6" t="s">
        <v>301</v>
      </c>
      <c r="B38" s="7" t="s">
        <v>299</v>
      </c>
      <c r="C38" s="7" t="s">
        <v>302</v>
      </c>
      <c r="D38" s="64">
        <v>4.53</v>
      </c>
      <c r="E38" s="26" t="s">
        <v>223</v>
      </c>
      <c r="F38" s="28" t="e">
        <f>#REF!</f>
        <v>#REF!</v>
      </c>
      <c r="G38" s="44" t="e">
        <f t="shared" si="0"/>
        <v>#REF!</v>
      </c>
      <c r="H38" s="11"/>
      <c r="J38" s="16" t="e">
        <f>HYPERLINK("#"&amp;#REF!&amp;"!A"&amp;ROW(#REF!),"M06623 →")</f>
        <v>#REF!</v>
      </c>
    </row>
    <row r="39" spans="1:10" ht="21.75" hidden="1" customHeight="1" x14ac:dyDescent="0.3">
      <c r="A39" s="6" t="s">
        <v>303</v>
      </c>
      <c r="B39" s="7" t="s">
        <v>304</v>
      </c>
      <c r="C39" s="7" t="s">
        <v>305</v>
      </c>
      <c r="D39" s="64">
        <v>6</v>
      </c>
      <c r="E39" s="26" t="s">
        <v>237</v>
      </c>
      <c r="F39" s="28" t="e">
        <f>#REF!</f>
        <v>#REF!</v>
      </c>
      <c r="G39" s="44" t="e">
        <f t="shared" si="0"/>
        <v>#REF!</v>
      </c>
      <c r="H39" s="11"/>
      <c r="J39" s="16" t="e">
        <f>HYPERLINK("#"&amp;#REF!&amp;"!A"&amp;ROW(#REF!),"M06624 →")</f>
        <v>#REF!</v>
      </c>
    </row>
    <row r="40" spans="1:10" ht="21.75" hidden="1" customHeight="1" x14ac:dyDescent="0.3">
      <c r="A40" s="6" t="s">
        <v>306</v>
      </c>
      <c r="B40" s="7" t="s">
        <v>307</v>
      </c>
      <c r="C40" s="7" t="s">
        <v>308</v>
      </c>
      <c r="D40" s="64">
        <v>6</v>
      </c>
      <c r="E40" s="26" t="s">
        <v>254</v>
      </c>
      <c r="F40" s="28" t="e">
        <f>#REF!</f>
        <v>#REF!</v>
      </c>
      <c r="G40" s="44" t="e">
        <f t="shared" si="0"/>
        <v>#REF!</v>
      </c>
      <c r="H40" s="11"/>
      <c r="J40" s="16" t="e">
        <f>HYPERLINK("#"&amp;#REF!&amp;"!A"&amp;ROW(#REF!),"M06625 →")</f>
        <v>#REF!</v>
      </c>
    </row>
    <row r="41" spans="1:10" ht="21.75" hidden="1" customHeight="1" x14ac:dyDescent="0.3">
      <c r="A41" s="6" t="s">
        <v>309</v>
      </c>
      <c r="B41" s="7" t="s">
        <v>239</v>
      </c>
      <c r="C41" s="7" t="s">
        <v>310</v>
      </c>
      <c r="D41" s="64">
        <v>6</v>
      </c>
      <c r="E41" s="26" t="s">
        <v>237</v>
      </c>
      <c r="F41" s="28" t="e">
        <f>#REF!</f>
        <v>#REF!</v>
      </c>
      <c r="G41" s="44" t="e">
        <f t="shared" si="0"/>
        <v>#REF!</v>
      </c>
      <c r="H41" s="11"/>
      <c r="J41" s="16" t="e">
        <f>HYPERLINK("#"&amp;#REF!&amp;"!A"&amp;ROW(#REF!),"M06626 →")</f>
        <v>#REF!</v>
      </c>
    </row>
    <row r="42" spans="1:10" ht="21.75" hidden="1" customHeight="1" x14ac:dyDescent="0.3">
      <c r="A42" s="6" t="s">
        <v>311</v>
      </c>
      <c r="B42" s="7" t="s">
        <v>304</v>
      </c>
      <c r="C42" s="7" t="s">
        <v>312</v>
      </c>
      <c r="D42" s="64">
        <v>6</v>
      </c>
      <c r="E42" s="26" t="s">
        <v>237</v>
      </c>
      <c r="F42" s="28" t="e">
        <f>#REF!</f>
        <v>#REF!</v>
      </c>
      <c r="G42" s="44" t="e">
        <f t="shared" si="0"/>
        <v>#REF!</v>
      </c>
      <c r="H42" s="11"/>
      <c r="J42" s="16" t="e">
        <f>HYPERLINK("#"&amp;#REF!&amp;"!A"&amp;ROW(#REF!),"M06627 →")</f>
        <v>#REF!</v>
      </c>
    </row>
    <row r="43" spans="1:10" ht="21.75" customHeight="1" x14ac:dyDescent="0.3">
      <c r="A43" s="6" t="s">
        <v>313</v>
      </c>
      <c r="B43" s="7" t="s">
        <v>314</v>
      </c>
      <c r="C43" s="7"/>
      <c r="D43" s="64">
        <v>0.33</v>
      </c>
      <c r="E43" s="26" t="s">
        <v>207</v>
      </c>
      <c r="F43" s="28" t="e">
        <f>#REF!</f>
        <v>#REF!</v>
      </c>
      <c r="G43" s="44" t="e">
        <f t="shared" si="0"/>
        <v>#REF!</v>
      </c>
      <c r="H43" s="11"/>
      <c r="J43" s="16" t="e">
        <f>HYPERLINK("#"&amp;#REF!&amp;"!A"&amp;ROW(#REF!),"M06628 →")</f>
        <v>#REF!</v>
      </c>
    </row>
    <row r="44" spans="1:10" ht="21.75" customHeight="1" x14ac:dyDescent="0.3">
      <c r="A44" s="6" t="s">
        <v>315</v>
      </c>
      <c r="B44" s="7" t="s">
        <v>316</v>
      </c>
      <c r="C44" s="7"/>
      <c r="D44" s="64">
        <v>20.83</v>
      </c>
      <c r="E44" s="26" t="s">
        <v>258</v>
      </c>
      <c r="F44" s="28" t="e">
        <f>#REF!</f>
        <v>#REF!</v>
      </c>
      <c r="G44" s="44" t="e">
        <f t="shared" si="0"/>
        <v>#REF!</v>
      </c>
      <c r="H44" s="11"/>
      <c r="J44" s="16" t="e">
        <f>HYPERLINK("#"&amp;#REF!&amp;"!A"&amp;ROW(#REF!),"M06629 →")</f>
        <v>#REF!</v>
      </c>
    </row>
  </sheetData>
  <mergeCells count="1">
    <mergeCell ref="A1:H1"/>
  </mergeCells>
  <phoneticPr fontId="12" type="noConversion"/>
  <hyperlinks>
    <hyperlink ref="J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1000-000000000000}"/>
    <hyperlink ref="I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1000-000001000000}"/>
  </hyperlinks>
  <printOptions horizontalCentered="1"/>
  <pageMargins left="0.78740157480314965" right="0.78740157480314965" top="0.59055118110236215" bottom="0.55118110236220474" header="0" footer="0.35433070866141736"/>
  <pageSetup paperSize="9" scale="96" fitToWidth="0" fitToHeight="0" orientation="landscape" r:id="rId3"/>
  <headerFooter alignWithMargins="0">
    <oddFooter>&amp;C&amp;"굴림체,"&amp;9 - &amp;P -&amp;R&amp;"굴림체,"&amp;9 인천광역시 계양구청(건설과)</oddFooter>
  </headerFooter>
  <rowBreaks count="1" manualBreakCount="1">
    <brk id="16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9"/>
  <sheetViews>
    <sheetView view="pageBreakPreview" zoomScale="115" zoomScaleNormal="100" zoomScaleSheetLayoutView="115" workbookViewId="0">
      <pane ySplit="3" topLeftCell="A4" activePane="bottomLeft" state="frozenSplit"/>
      <selection activeCell="C8" sqref="C8"/>
      <selection pane="bottomLeft" activeCell="D6" sqref="D6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6" width="10" style="3" customWidth="1"/>
    <col min="7" max="8" width="11.5" style="3" customWidth="1"/>
    <col min="9" max="9" width="9.125" style="3" hidden="1" customWidth="1"/>
    <col min="10" max="10" width="9.125" style="14" customWidth="1"/>
    <col min="11" max="16384" width="9.125" style="3"/>
  </cols>
  <sheetData>
    <row r="1" spans="1:10" ht="24.95" customHeight="1" x14ac:dyDescent="0.3">
      <c r="A1" s="108" t="s">
        <v>459</v>
      </c>
      <c r="B1" s="109"/>
      <c r="C1" s="109"/>
      <c r="D1" s="109"/>
      <c r="E1" s="109"/>
      <c r="F1" s="109"/>
      <c r="G1" s="109"/>
      <c r="H1" s="109"/>
      <c r="I1" s="2" t="s">
        <v>102</v>
      </c>
      <c r="J1" s="15" t="s">
        <v>102</v>
      </c>
    </row>
    <row r="2" spans="1:10" ht="21.75" customHeight="1" x14ac:dyDescent="0.3">
      <c r="A2" s="1"/>
      <c r="I2" s="17" t="str">
        <f ca="1">MID(CELL("filename",$A$1),FIND("]",CELL("filename",$A$1))+1,LEN(CELL("filename",$A$1)))</f>
        <v>노무비수량금액집계표</v>
      </c>
    </row>
    <row r="3" spans="1:10" ht="21.75" customHeight="1" x14ac:dyDescent="0.3">
      <c r="A3" s="5" t="s">
        <v>0</v>
      </c>
      <c r="B3" s="5" t="s">
        <v>1</v>
      </c>
      <c r="C3" s="5" t="s">
        <v>2</v>
      </c>
      <c r="D3" s="5" t="s">
        <v>372</v>
      </c>
      <c r="E3" s="5" t="s">
        <v>3</v>
      </c>
      <c r="F3" s="5" t="s">
        <v>203</v>
      </c>
      <c r="G3" s="5" t="s">
        <v>373</v>
      </c>
      <c r="H3" s="10" t="s">
        <v>8</v>
      </c>
      <c r="J3" s="16" t="str">
        <f>HYPERLINK("#'〓 목 차 〓'!B2","목차 →")</f>
        <v>목차 →</v>
      </c>
    </row>
    <row r="4" spans="1:10" ht="21.75" customHeight="1" x14ac:dyDescent="0.3">
      <c r="A4" s="6" t="s">
        <v>317</v>
      </c>
      <c r="B4" s="7" t="s">
        <v>27</v>
      </c>
      <c r="C4" s="7"/>
      <c r="D4" s="64">
        <v>148.38999999999999</v>
      </c>
      <c r="E4" s="26" t="s">
        <v>318</v>
      </c>
      <c r="F4" s="28" t="e">
        <f>#REF!</f>
        <v>#REF!</v>
      </c>
      <c r="G4" s="44" t="e">
        <f t="shared" ref="G4:G9" si="0">ROUND(D4*F4,0)</f>
        <v>#REF!</v>
      </c>
      <c r="H4" s="11" t="s">
        <v>319</v>
      </c>
      <c r="J4" s="16" t="e">
        <f>HYPERLINK("#"&amp;#REF!&amp;"!A"&amp;ROW(#REF!),"L00002 →")</f>
        <v>#REF!</v>
      </c>
    </row>
    <row r="5" spans="1:10" ht="21.75" customHeight="1" x14ac:dyDescent="0.3">
      <c r="A5" s="6" t="s">
        <v>320</v>
      </c>
      <c r="B5" s="7" t="s">
        <v>321</v>
      </c>
      <c r="C5" s="7"/>
      <c r="D5" s="64">
        <v>8.9</v>
      </c>
      <c r="E5" s="26" t="s">
        <v>318</v>
      </c>
      <c r="F5" s="28" t="e">
        <f>#REF!</f>
        <v>#REF!</v>
      </c>
      <c r="G5" s="44" t="e">
        <f t="shared" si="0"/>
        <v>#REF!</v>
      </c>
      <c r="H5" s="11" t="s">
        <v>322</v>
      </c>
      <c r="J5" s="16" t="e">
        <f>HYPERLINK("#"&amp;#REF!&amp;"!A"&amp;ROW(#REF!),"L00003 →")</f>
        <v>#REF!</v>
      </c>
    </row>
    <row r="6" spans="1:10" ht="21.75" customHeight="1" x14ac:dyDescent="0.3">
      <c r="A6" s="6" t="s">
        <v>323</v>
      </c>
      <c r="B6" s="7" t="s">
        <v>324</v>
      </c>
      <c r="C6" s="7"/>
      <c r="D6" s="64">
        <v>46.43</v>
      </c>
      <c r="E6" s="26" t="s">
        <v>318</v>
      </c>
      <c r="F6" s="28" t="e">
        <f>#REF!</f>
        <v>#REF!</v>
      </c>
      <c r="G6" s="44" t="e">
        <f t="shared" si="0"/>
        <v>#REF!</v>
      </c>
      <c r="H6" s="11" t="s">
        <v>325</v>
      </c>
      <c r="J6" s="16" t="e">
        <f>HYPERLINK("#"&amp;#REF!&amp;"!A"&amp;ROW(#REF!),"L00007 →")</f>
        <v>#REF!</v>
      </c>
    </row>
    <row r="7" spans="1:10" ht="21.75" customHeight="1" x14ac:dyDescent="0.3">
      <c r="A7" s="6" t="s">
        <v>326</v>
      </c>
      <c r="B7" s="7" t="s">
        <v>327</v>
      </c>
      <c r="C7" s="7"/>
      <c r="D7" s="64">
        <v>74.75</v>
      </c>
      <c r="E7" s="26" t="s">
        <v>318</v>
      </c>
      <c r="F7" s="28" t="e">
        <f>#REF!</f>
        <v>#REF!</v>
      </c>
      <c r="G7" s="44" t="e">
        <f t="shared" si="0"/>
        <v>#REF!</v>
      </c>
      <c r="H7" s="11" t="s">
        <v>328</v>
      </c>
      <c r="J7" s="16" t="e">
        <f>HYPERLINK("#"&amp;#REF!&amp;"!A"&amp;ROW(#REF!),"L00013 →")</f>
        <v>#REF!</v>
      </c>
    </row>
    <row r="8" spans="1:10" ht="21.75" customHeight="1" x14ac:dyDescent="0.3">
      <c r="A8" s="6" t="s">
        <v>329</v>
      </c>
      <c r="B8" s="7" t="s">
        <v>330</v>
      </c>
      <c r="C8" s="7"/>
      <c r="D8" s="64">
        <v>0.54</v>
      </c>
      <c r="E8" s="26" t="s">
        <v>318</v>
      </c>
      <c r="F8" s="28" t="e">
        <f>#REF!</f>
        <v>#REF!</v>
      </c>
      <c r="G8" s="44" t="e">
        <f t="shared" si="0"/>
        <v>#REF!</v>
      </c>
      <c r="H8" s="11" t="s">
        <v>331</v>
      </c>
      <c r="J8" s="16" t="e">
        <f>HYPERLINK("#"&amp;#REF!&amp;"!A"&amp;ROW(#REF!),"L00019 →")</f>
        <v>#REF!</v>
      </c>
    </row>
    <row r="9" spans="1:10" ht="21.75" customHeight="1" x14ac:dyDescent="0.3">
      <c r="A9" s="6" t="s">
        <v>332</v>
      </c>
      <c r="B9" s="7" t="s">
        <v>333</v>
      </c>
      <c r="C9" s="7"/>
      <c r="D9" s="64">
        <v>26.1</v>
      </c>
      <c r="E9" s="26" t="s">
        <v>318</v>
      </c>
      <c r="F9" s="28" t="e">
        <f>#REF!</f>
        <v>#REF!</v>
      </c>
      <c r="G9" s="44" t="e">
        <f t="shared" si="0"/>
        <v>#REF!</v>
      </c>
      <c r="H9" s="11" t="s">
        <v>334</v>
      </c>
      <c r="J9" s="16" t="e">
        <f>HYPERLINK("#"&amp;#REF!&amp;"!A"&amp;ROW(#REF!),"L00040 →")</f>
        <v>#REF!</v>
      </c>
    </row>
  </sheetData>
  <mergeCells count="1">
    <mergeCell ref="A1:H1"/>
  </mergeCells>
  <phoneticPr fontId="12" type="noConversion"/>
  <hyperlinks>
    <hyperlink ref="J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1100-000000000000}"/>
    <hyperlink ref="I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1100-000001000000}"/>
  </hyperlinks>
  <printOptions horizontalCentered="1"/>
  <pageMargins left="0.78740157480314965" right="0.78740157480314965" top="0.59055118110236215" bottom="0.55118110236220474" header="0" footer="0.35433070866141736"/>
  <pageSetup paperSize="9" fitToWidth="0" fitToHeight="0" orientation="landscape" r:id="rId3"/>
  <headerFooter alignWithMargins="0">
    <oddFooter>&amp;C&amp;"굴림체,"&amp;9 - &amp;P -&amp;R&amp;"굴림체,"&amp;9 인천광역시 계양구청(건설과)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23"/>
  <sheetViews>
    <sheetView view="pageBreakPreview" zoomScale="130" zoomScaleNormal="100" zoomScaleSheetLayoutView="130" workbookViewId="0">
      <pane ySplit="3" topLeftCell="A16" activePane="bottomLeft" state="frozenSplit"/>
      <selection activeCell="C8" sqref="C8"/>
      <selection pane="bottomLeft" activeCell="B18" sqref="B18"/>
    </sheetView>
  </sheetViews>
  <sheetFormatPr defaultColWidth="9.125" defaultRowHeight="16.5" x14ac:dyDescent="0.3"/>
  <cols>
    <col min="1" max="1" width="10" style="3" customWidth="1"/>
    <col min="2" max="3" width="24.25" style="3" customWidth="1"/>
    <col min="4" max="4" width="10" style="3" customWidth="1"/>
    <col min="5" max="5" width="5.5" style="3" customWidth="1"/>
    <col min="6" max="9" width="13" style="3" customWidth="1"/>
    <col min="10" max="10" width="10" style="3" customWidth="1"/>
    <col min="11" max="11" width="9.125" style="3" hidden="1" customWidth="1"/>
    <col min="12" max="12" width="9.125" style="14" customWidth="1"/>
    <col min="13" max="16384" width="9.125" style="3"/>
  </cols>
  <sheetData>
    <row r="1" spans="1:12" ht="24.95" customHeight="1" x14ac:dyDescent="0.3">
      <c r="A1" s="108" t="s">
        <v>460</v>
      </c>
      <c r="B1" s="109"/>
      <c r="C1" s="109"/>
      <c r="D1" s="109"/>
      <c r="E1" s="109"/>
      <c r="F1" s="109"/>
      <c r="G1" s="109"/>
      <c r="H1" s="109"/>
      <c r="I1" s="109"/>
      <c r="J1" s="109"/>
      <c r="K1" s="2" t="s">
        <v>102</v>
      </c>
      <c r="L1" s="15" t="s">
        <v>102</v>
      </c>
    </row>
    <row r="2" spans="1:12" ht="24.95" customHeight="1" x14ac:dyDescent="0.3">
      <c r="A2" s="1"/>
      <c r="K2" s="17" t="str">
        <f ca="1">MID(CELL("filename",$A$1),FIND("]",CELL("filename",$A$1))+1,LEN(CELL("filename",$A$1)))</f>
        <v>중기시간금액집계표</v>
      </c>
    </row>
    <row r="3" spans="1:12" ht="24.95" customHeight="1" x14ac:dyDescent="0.3">
      <c r="A3" s="5" t="s">
        <v>0</v>
      </c>
      <c r="B3" s="5" t="s">
        <v>1</v>
      </c>
      <c r="C3" s="5" t="s">
        <v>2</v>
      </c>
      <c r="D3" s="5" t="s">
        <v>372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10" t="s">
        <v>8</v>
      </c>
      <c r="L3" s="16" t="str">
        <f>HYPERLINK("#'〓 목 차 〓'!B2","목차 →")</f>
        <v>목차 →</v>
      </c>
    </row>
    <row r="4" spans="1:12" ht="24.95" customHeight="1" x14ac:dyDescent="0.3">
      <c r="A4" s="6" t="s">
        <v>153</v>
      </c>
      <c r="B4" s="7" t="s">
        <v>154</v>
      </c>
      <c r="C4" s="7" t="s">
        <v>155</v>
      </c>
      <c r="D4" s="64">
        <v>0.54</v>
      </c>
      <c r="E4" s="26" t="s">
        <v>156</v>
      </c>
      <c r="F4" s="38" t="e">
        <f>ROUND(D4*#REF!,0)</f>
        <v>#REF!</v>
      </c>
      <c r="G4" s="38" t="e">
        <f>ROUND(D4*#REF!,0)</f>
        <v>#REF!</v>
      </c>
      <c r="H4" s="38" t="e">
        <f>ROUND(D4*#REF!,0)</f>
        <v>#REF!</v>
      </c>
      <c r="I4" s="44" t="e">
        <f t="shared" ref="I4:I23" si="0">F4+G4+H4</f>
        <v>#REF!</v>
      </c>
      <c r="J4" s="11"/>
      <c r="L4" s="16" t="e">
        <f>HYPERLINK("#"&amp;#REF!&amp;"!A"&amp;ROW(#REF!),"X00019 →")</f>
        <v>#REF!</v>
      </c>
    </row>
    <row r="5" spans="1:12" ht="24.95" customHeight="1" x14ac:dyDescent="0.3">
      <c r="A5" s="6" t="s">
        <v>157</v>
      </c>
      <c r="B5" s="7" t="s">
        <v>158</v>
      </c>
      <c r="C5" s="7" t="s">
        <v>159</v>
      </c>
      <c r="D5" s="64">
        <v>1.43</v>
      </c>
      <c r="E5" s="26" t="s">
        <v>156</v>
      </c>
      <c r="F5" s="38" t="e">
        <f>ROUND(D5*#REF!,0)</f>
        <v>#REF!</v>
      </c>
      <c r="G5" s="38" t="e">
        <f>ROUND(D5*#REF!,0)</f>
        <v>#REF!</v>
      </c>
      <c r="H5" s="38" t="e">
        <f>ROUND(D5*#REF!,0)</f>
        <v>#REF!</v>
      </c>
      <c r="I5" s="44" t="e">
        <f t="shared" si="0"/>
        <v>#REF!</v>
      </c>
      <c r="J5" s="11"/>
      <c r="L5" s="16" t="e">
        <f>HYPERLINK("#"&amp;#REF!&amp;"!A"&amp;ROW(#REF!),"X00025 →")</f>
        <v>#REF!</v>
      </c>
    </row>
    <row r="6" spans="1:12" ht="24.95" customHeight="1" x14ac:dyDescent="0.3">
      <c r="A6" s="6" t="s">
        <v>160</v>
      </c>
      <c r="B6" s="7" t="s">
        <v>158</v>
      </c>
      <c r="C6" s="7" t="s">
        <v>155</v>
      </c>
      <c r="D6" s="64">
        <v>2.41</v>
      </c>
      <c r="E6" s="26" t="s">
        <v>156</v>
      </c>
      <c r="F6" s="38" t="e">
        <f>ROUND(D6*#REF!,0)</f>
        <v>#REF!</v>
      </c>
      <c r="G6" s="38" t="e">
        <f>ROUND(D6*#REF!,0)</f>
        <v>#REF!</v>
      </c>
      <c r="H6" s="38" t="e">
        <f>ROUND(D6*#REF!,0)</f>
        <v>#REF!</v>
      </c>
      <c r="I6" s="44" t="e">
        <f t="shared" si="0"/>
        <v>#REF!</v>
      </c>
      <c r="J6" s="11"/>
      <c r="L6" s="16" t="e">
        <f>HYPERLINK("#"&amp;#REF!&amp;"!A"&amp;ROW(#REF!),"X00026 →")</f>
        <v>#REF!</v>
      </c>
    </row>
    <row r="7" spans="1:12" ht="24.95" customHeight="1" x14ac:dyDescent="0.3">
      <c r="A7" s="6" t="s">
        <v>161</v>
      </c>
      <c r="B7" s="7" t="s">
        <v>158</v>
      </c>
      <c r="C7" s="7" t="s">
        <v>162</v>
      </c>
      <c r="D7" s="64">
        <v>3.88</v>
      </c>
      <c r="E7" s="26" t="s">
        <v>156</v>
      </c>
      <c r="F7" s="38" t="e">
        <f>ROUND(D7*#REF!,0)</f>
        <v>#REF!</v>
      </c>
      <c r="G7" s="38" t="e">
        <f>ROUND(D7*#REF!,0)</f>
        <v>#REF!</v>
      </c>
      <c r="H7" s="38" t="e">
        <f>ROUND(D7*#REF!,0)</f>
        <v>#REF!</v>
      </c>
      <c r="I7" s="44" t="e">
        <f t="shared" si="0"/>
        <v>#REF!</v>
      </c>
      <c r="J7" s="11"/>
      <c r="L7" s="16" t="e">
        <f>HYPERLINK("#"&amp;#REF!&amp;"!A"&amp;ROW(#REF!),"X00027 →")</f>
        <v>#REF!</v>
      </c>
    </row>
    <row r="8" spans="1:12" ht="24.95" customHeight="1" x14ac:dyDescent="0.3">
      <c r="A8" s="6" t="s">
        <v>163</v>
      </c>
      <c r="B8" s="7" t="s">
        <v>164</v>
      </c>
      <c r="C8" s="7" t="s">
        <v>165</v>
      </c>
      <c r="D8" s="64">
        <v>2.89</v>
      </c>
      <c r="E8" s="26" t="s">
        <v>156</v>
      </c>
      <c r="F8" s="38" t="e">
        <f>ROUND(D8*#REF!,0)</f>
        <v>#REF!</v>
      </c>
      <c r="G8" s="38" t="e">
        <f>ROUND(D8*#REF!,0)</f>
        <v>#REF!</v>
      </c>
      <c r="H8" s="38" t="e">
        <f>ROUND(D8*#REF!,0)</f>
        <v>#REF!</v>
      </c>
      <c r="I8" s="44" t="e">
        <f t="shared" si="0"/>
        <v>#REF!</v>
      </c>
      <c r="J8" s="11"/>
      <c r="L8" s="16" t="e">
        <f>HYPERLINK("#"&amp;#REF!&amp;"!A"&amp;ROW(#REF!),"X00070 →")</f>
        <v>#REF!</v>
      </c>
    </row>
    <row r="9" spans="1:12" ht="24.95" customHeight="1" x14ac:dyDescent="0.3">
      <c r="A9" s="6" t="s">
        <v>166</v>
      </c>
      <c r="B9" s="7" t="s">
        <v>164</v>
      </c>
      <c r="C9" s="7" t="s">
        <v>167</v>
      </c>
      <c r="D9" s="64">
        <v>0.12</v>
      </c>
      <c r="E9" s="26" t="s">
        <v>156</v>
      </c>
      <c r="F9" s="38" t="e">
        <f>ROUND(D9*#REF!,0)</f>
        <v>#REF!</v>
      </c>
      <c r="G9" s="38" t="e">
        <f>ROUND(D9*#REF!,0)</f>
        <v>#REF!</v>
      </c>
      <c r="H9" s="38" t="e">
        <f>ROUND(D9*#REF!,0)</f>
        <v>#REF!</v>
      </c>
      <c r="I9" s="44" t="e">
        <f t="shared" si="0"/>
        <v>#REF!</v>
      </c>
      <c r="J9" s="11"/>
      <c r="L9" s="16" t="e">
        <f>HYPERLINK("#"&amp;#REF!&amp;"!A"&amp;ROW(#REF!),"X00071 →")</f>
        <v>#REF!</v>
      </c>
    </row>
    <row r="10" spans="1:12" ht="24.95" customHeight="1" x14ac:dyDescent="0.3">
      <c r="A10" s="6" t="s">
        <v>168</v>
      </c>
      <c r="B10" s="7" t="s">
        <v>169</v>
      </c>
      <c r="C10" s="7" t="s">
        <v>170</v>
      </c>
      <c r="D10" s="64">
        <v>0.54</v>
      </c>
      <c r="E10" s="26" t="s">
        <v>156</v>
      </c>
      <c r="F10" s="38" t="e">
        <f>ROUND(D10*#REF!,0)</f>
        <v>#REF!</v>
      </c>
      <c r="G10" s="38" t="e">
        <f>ROUND(D10*#REF!,0)</f>
        <v>#REF!</v>
      </c>
      <c r="H10" s="38" t="e">
        <f>ROUND(D10*#REF!,0)</f>
        <v>#REF!</v>
      </c>
      <c r="I10" s="44" t="e">
        <f t="shared" si="0"/>
        <v>#REF!</v>
      </c>
      <c r="J10" s="11"/>
      <c r="L10" s="16" t="e">
        <f>HYPERLINK("#"&amp;#REF!&amp;"!A"&amp;ROW(#REF!),"X00093 →")</f>
        <v>#REF!</v>
      </c>
    </row>
    <row r="11" spans="1:12" ht="24.95" customHeight="1" x14ac:dyDescent="0.3">
      <c r="A11" s="6" t="s">
        <v>171</v>
      </c>
      <c r="B11" s="7" t="s">
        <v>172</v>
      </c>
      <c r="C11" s="7" t="s">
        <v>173</v>
      </c>
      <c r="D11" s="64">
        <v>5.61</v>
      </c>
      <c r="E11" s="26" t="s">
        <v>156</v>
      </c>
      <c r="F11" s="38" t="e">
        <f>ROUND(D11*#REF!,0)</f>
        <v>#REF!</v>
      </c>
      <c r="G11" s="38" t="e">
        <f>ROUND(D11*#REF!,0)</f>
        <v>#REF!</v>
      </c>
      <c r="H11" s="38" t="e">
        <f>ROUND(D11*#REF!,0)</f>
        <v>#REF!</v>
      </c>
      <c r="I11" s="44" t="e">
        <f t="shared" si="0"/>
        <v>#REF!</v>
      </c>
      <c r="J11" s="11"/>
      <c r="L11" s="16" t="e">
        <f>HYPERLINK("#"&amp;#REF!&amp;"!A"&amp;ROW(#REF!),"X00143 →")</f>
        <v>#REF!</v>
      </c>
    </row>
    <row r="12" spans="1:12" ht="24.95" customHeight="1" x14ac:dyDescent="0.3">
      <c r="A12" s="6" t="s">
        <v>174</v>
      </c>
      <c r="B12" s="7" t="s">
        <v>175</v>
      </c>
      <c r="C12" s="7" t="s">
        <v>176</v>
      </c>
      <c r="D12" s="64">
        <v>20.399999999999999</v>
      </c>
      <c r="E12" s="26" t="s">
        <v>156</v>
      </c>
      <c r="F12" s="38" t="e">
        <f>ROUND(D12*#REF!,0)</f>
        <v>#REF!</v>
      </c>
      <c r="G12" s="38" t="e">
        <f>ROUND(D12*#REF!,0)</f>
        <v>#REF!</v>
      </c>
      <c r="H12" s="38" t="e">
        <f>ROUND(D12*#REF!,0)</f>
        <v>#REF!</v>
      </c>
      <c r="I12" s="44" t="e">
        <f t="shared" si="0"/>
        <v>#REF!</v>
      </c>
      <c r="J12" s="11"/>
      <c r="L12" s="16" t="e">
        <f>HYPERLINK("#"&amp;#REF!&amp;"!A"&amp;ROW(#REF!),"X00144 →")</f>
        <v>#REF!</v>
      </c>
    </row>
    <row r="13" spans="1:12" ht="24.95" customHeight="1" x14ac:dyDescent="0.3">
      <c r="A13" s="6" t="s">
        <v>177</v>
      </c>
      <c r="B13" s="7" t="s">
        <v>178</v>
      </c>
      <c r="C13" s="7" t="s">
        <v>179</v>
      </c>
      <c r="D13" s="64">
        <v>13.82</v>
      </c>
      <c r="E13" s="26" t="s">
        <v>156</v>
      </c>
      <c r="F13" s="38" t="e">
        <f>ROUND(D13*#REF!,0)</f>
        <v>#REF!</v>
      </c>
      <c r="G13" s="38" t="e">
        <f>ROUND(D13*#REF!,0)</f>
        <v>#REF!</v>
      </c>
      <c r="H13" s="38" t="e">
        <f>ROUND(D13*#REF!,0)</f>
        <v>#REF!</v>
      </c>
      <c r="I13" s="44" t="e">
        <f t="shared" si="0"/>
        <v>#REF!</v>
      </c>
      <c r="J13" s="11"/>
      <c r="L13" s="16" t="e">
        <f>HYPERLINK("#"&amp;#REF!&amp;"!A"&amp;ROW(#REF!),"X00180 →")</f>
        <v>#REF!</v>
      </c>
    </row>
    <row r="14" spans="1:12" ht="24.95" customHeight="1" x14ac:dyDescent="0.3">
      <c r="A14" s="6" t="s">
        <v>180</v>
      </c>
      <c r="B14" s="7" t="s">
        <v>181</v>
      </c>
      <c r="C14" s="7" t="s">
        <v>182</v>
      </c>
      <c r="D14" s="64">
        <v>3.2</v>
      </c>
      <c r="E14" s="26" t="s">
        <v>156</v>
      </c>
      <c r="F14" s="38" t="e">
        <f>ROUND(D14*#REF!,0)</f>
        <v>#REF!</v>
      </c>
      <c r="G14" s="38" t="e">
        <f>ROUND(D14*#REF!,0)</f>
        <v>#REF!</v>
      </c>
      <c r="H14" s="38" t="e">
        <f>ROUND(D14*#REF!,0)</f>
        <v>#REF!</v>
      </c>
      <c r="I14" s="44" t="e">
        <f t="shared" si="0"/>
        <v>#REF!</v>
      </c>
      <c r="J14" s="11"/>
      <c r="L14" s="16" t="e">
        <f>HYPERLINK("#"&amp;#REF!&amp;"!A"&amp;ROW(#REF!),"X00286 →")</f>
        <v>#REF!</v>
      </c>
    </row>
    <row r="15" spans="1:12" ht="24.95" customHeight="1" x14ac:dyDescent="0.3">
      <c r="A15" s="6" t="s">
        <v>183</v>
      </c>
      <c r="B15" s="7" t="s">
        <v>184</v>
      </c>
      <c r="C15" s="7" t="s">
        <v>185</v>
      </c>
      <c r="D15" s="64">
        <v>10.09</v>
      </c>
      <c r="E15" s="26" t="s">
        <v>156</v>
      </c>
      <c r="F15" s="38" t="e">
        <f>ROUND(D15*#REF!,0)</f>
        <v>#REF!</v>
      </c>
      <c r="G15" s="38" t="e">
        <f>ROUND(D15*#REF!,0)</f>
        <v>#REF!</v>
      </c>
      <c r="H15" s="38" t="e">
        <f>ROUND(D15*#REF!,0)</f>
        <v>#REF!</v>
      </c>
      <c r="I15" s="44" t="e">
        <f t="shared" si="0"/>
        <v>#REF!</v>
      </c>
      <c r="J15" s="11"/>
      <c r="L15" s="16" t="e">
        <f>HYPERLINK("#"&amp;#REF!&amp;"!A"&amp;ROW(#REF!),"X00292 →")</f>
        <v>#REF!</v>
      </c>
    </row>
    <row r="16" spans="1:12" ht="24.95" customHeight="1" x14ac:dyDescent="0.3">
      <c r="A16" s="6" t="s">
        <v>186</v>
      </c>
      <c r="B16" s="7" t="s">
        <v>187</v>
      </c>
      <c r="C16" s="7" t="s">
        <v>188</v>
      </c>
      <c r="D16" s="64">
        <v>3.2</v>
      </c>
      <c r="E16" s="26" t="s">
        <v>156</v>
      </c>
      <c r="F16" s="38" t="e">
        <f>ROUND(D16*#REF!,0)</f>
        <v>#REF!</v>
      </c>
      <c r="G16" s="38" t="e">
        <f>ROUND(D16*#REF!,0)</f>
        <v>#REF!</v>
      </c>
      <c r="H16" s="38" t="e">
        <f>ROUND(D16*#REF!,0)</f>
        <v>#REF!</v>
      </c>
      <c r="I16" s="44" t="e">
        <f t="shared" si="0"/>
        <v>#REF!</v>
      </c>
      <c r="J16" s="11"/>
      <c r="L16" s="16" t="e">
        <f>HYPERLINK("#"&amp;#REF!&amp;"!A"&amp;ROW(#REF!),"X00381 →")</f>
        <v>#REF!</v>
      </c>
    </row>
    <row r="17" spans="1:12" ht="24.95" customHeight="1" x14ac:dyDescent="0.3">
      <c r="A17" s="6" t="s">
        <v>189</v>
      </c>
      <c r="B17" s="76" t="s">
        <v>579</v>
      </c>
      <c r="C17" s="77" t="s">
        <v>578</v>
      </c>
      <c r="D17" s="64">
        <v>3.2</v>
      </c>
      <c r="E17" s="26" t="s">
        <v>156</v>
      </c>
      <c r="F17" s="38" t="e">
        <f>ROUND(D17*#REF!,0)</f>
        <v>#REF!</v>
      </c>
      <c r="G17" s="38" t="e">
        <f>ROUND(D17*#REF!,0)</f>
        <v>#REF!</v>
      </c>
      <c r="H17" s="38" t="e">
        <f>ROUND(D17*#REF!,0)</f>
        <v>#REF!</v>
      </c>
      <c r="I17" s="44" t="e">
        <f t="shared" si="0"/>
        <v>#REF!</v>
      </c>
      <c r="J17" s="11"/>
      <c r="L17" s="16" t="e">
        <f>HYPERLINK("#"&amp;#REF!&amp;"!A"&amp;ROW(#REF!),"X00387 →")</f>
        <v>#REF!</v>
      </c>
    </row>
    <row r="18" spans="1:12" ht="24.95" customHeight="1" x14ac:dyDescent="0.3">
      <c r="A18" s="6" t="s">
        <v>190</v>
      </c>
      <c r="B18" s="7" t="s">
        <v>191</v>
      </c>
      <c r="C18" s="7" t="s">
        <v>192</v>
      </c>
      <c r="D18" s="64">
        <v>0.27</v>
      </c>
      <c r="E18" s="26" t="s">
        <v>156</v>
      </c>
      <c r="F18" s="38" t="e">
        <f>ROUND(D18*#REF!,0)</f>
        <v>#REF!</v>
      </c>
      <c r="G18" s="38" t="e">
        <f>ROUND(D18*#REF!,0)</f>
        <v>#REF!</v>
      </c>
      <c r="H18" s="38" t="e">
        <f>ROUND(D18*#REF!,0)</f>
        <v>#REF!</v>
      </c>
      <c r="I18" s="44" t="e">
        <f t="shared" si="0"/>
        <v>#REF!</v>
      </c>
      <c r="J18" s="11"/>
      <c r="L18" s="16" t="e">
        <f>HYPERLINK("#"&amp;#REF!&amp;"!A"&amp;ROW(#REF!),"X00459 →")</f>
        <v>#REF!</v>
      </c>
    </row>
    <row r="19" spans="1:12" ht="24.95" customHeight="1" x14ac:dyDescent="0.3">
      <c r="A19" s="6" t="s">
        <v>193</v>
      </c>
      <c r="B19" s="7" t="s">
        <v>154</v>
      </c>
      <c r="C19" s="7" t="s">
        <v>194</v>
      </c>
      <c r="D19" s="64">
        <v>7.85</v>
      </c>
      <c r="E19" s="26" t="s">
        <v>156</v>
      </c>
      <c r="F19" s="38" t="e">
        <f>ROUND(D19*#REF!,0)</f>
        <v>#REF!</v>
      </c>
      <c r="G19" s="38" t="e">
        <f>ROUND(D19*#REF!,0)</f>
        <v>#REF!</v>
      </c>
      <c r="H19" s="38" t="e">
        <f>ROUND(D19*#REF!,0)</f>
        <v>#REF!</v>
      </c>
      <c r="I19" s="44" t="e">
        <f t="shared" si="0"/>
        <v>#REF!</v>
      </c>
      <c r="J19" s="11"/>
      <c r="L19" s="16" t="e">
        <f>HYPERLINK("#"&amp;#REF!&amp;"!A"&amp;ROW(#REF!),"X01441 →")</f>
        <v>#REF!</v>
      </c>
    </row>
    <row r="20" spans="1:12" ht="24.95" hidden="1" customHeight="1" x14ac:dyDescent="0.3">
      <c r="A20" s="6" t="s">
        <v>195</v>
      </c>
      <c r="B20" s="7" t="s">
        <v>154</v>
      </c>
      <c r="C20" s="7" t="s">
        <v>194</v>
      </c>
      <c r="D20" s="64">
        <v>0.04</v>
      </c>
      <c r="E20" s="26" t="s">
        <v>156</v>
      </c>
      <c r="F20" s="38" t="e">
        <f>ROUND(D20*#REF!,0)</f>
        <v>#REF!</v>
      </c>
      <c r="G20" s="38" t="e">
        <f>ROUND(D20*#REF!,0)</f>
        <v>#REF!</v>
      </c>
      <c r="H20" s="38" t="e">
        <f>ROUND(D20*#REF!,0)</f>
        <v>#REF!</v>
      </c>
      <c r="I20" s="44" t="e">
        <f t="shared" si="0"/>
        <v>#REF!</v>
      </c>
      <c r="J20" s="11"/>
      <c r="L20" s="16" t="e">
        <f>HYPERLINK("#"&amp;#REF!&amp;"!A"&amp;ROW(#REF!),"X02150 →")</f>
        <v>#REF!</v>
      </c>
    </row>
    <row r="21" spans="1:12" ht="24.95" customHeight="1" x14ac:dyDescent="0.3">
      <c r="A21" s="6" t="s">
        <v>196</v>
      </c>
      <c r="B21" s="7" t="s">
        <v>164</v>
      </c>
      <c r="C21" s="7" t="s">
        <v>197</v>
      </c>
      <c r="D21" s="64">
        <v>1.17</v>
      </c>
      <c r="E21" s="26" t="s">
        <v>156</v>
      </c>
      <c r="F21" s="38" t="e">
        <f>ROUND(D21*#REF!,0)</f>
        <v>#REF!</v>
      </c>
      <c r="G21" s="38" t="e">
        <f>ROUND(D21*#REF!,0)</f>
        <v>#REF!</v>
      </c>
      <c r="H21" s="38" t="e">
        <f>ROUND(D21*#REF!,0)</f>
        <v>#REF!</v>
      </c>
      <c r="I21" s="44" t="e">
        <f t="shared" si="0"/>
        <v>#REF!</v>
      </c>
      <c r="J21" s="11"/>
      <c r="L21" s="16" t="e">
        <f>HYPERLINK("#"&amp;#REF!&amp;"!A"&amp;ROW(#REF!),"X02196 →")</f>
        <v>#REF!</v>
      </c>
    </row>
    <row r="22" spans="1:12" ht="24.95" hidden="1" customHeight="1" x14ac:dyDescent="0.3">
      <c r="A22" s="6" t="s">
        <v>198</v>
      </c>
      <c r="B22" s="7" t="s">
        <v>154</v>
      </c>
      <c r="C22" s="7" t="s">
        <v>194</v>
      </c>
      <c r="D22" s="64">
        <v>7.12</v>
      </c>
      <c r="E22" s="26" t="s">
        <v>156</v>
      </c>
      <c r="F22" s="38" t="e">
        <f>ROUND(D22*#REF!,0)</f>
        <v>#REF!</v>
      </c>
      <c r="G22" s="38" t="e">
        <f>ROUND(D22*#REF!,0)</f>
        <v>#REF!</v>
      </c>
      <c r="H22" s="38" t="e">
        <f>ROUND(D22*#REF!,0)</f>
        <v>#REF!</v>
      </c>
      <c r="I22" s="44" t="e">
        <f t="shared" si="0"/>
        <v>#REF!</v>
      </c>
      <c r="J22" s="11"/>
      <c r="L22" s="16" t="e">
        <f>HYPERLINK("#"&amp;#REF!&amp;"!A"&amp;ROW(#REF!),"X03280 →")</f>
        <v>#REF!</v>
      </c>
    </row>
    <row r="23" spans="1:12" ht="24.95" customHeight="1" x14ac:dyDescent="0.3">
      <c r="A23" s="6" t="s">
        <v>199</v>
      </c>
      <c r="B23" s="7" t="s">
        <v>200</v>
      </c>
      <c r="C23" s="7" t="s">
        <v>201</v>
      </c>
      <c r="D23" s="64">
        <v>14.41</v>
      </c>
      <c r="E23" s="26" t="s">
        <v>156</v>
      </c>
      <c r="F23" s="38" t="e">
        <f>ROUND(D23*#REF!,0)</f>
        <v>#REF!</v>
      </c>
      <c r="G23" s="38" t="e">
        <f>ROUND(D23*#REF!,0)</f>
        <v>#REF!</v>
      </c>
      <c r="H23" s="38" t="e">
        <f>ROUND(D23*#REF!,0)</f>
        <v>#REF!</v>
      </c>
      <c r="I23" s="44" t="e">
        <f t="shared" si="0"/>
        <v>#REF!</v>
      </c>
      <c r="J23" s="11"/>
      <c r="L23" s="16" t="e">
        <f>HYPERLINK("#"&amp;#REF!&amp;"!A"&amp;ROW(#REF!),"X04837 →")</f>
        <v>#REF!</v>
      </c>
    </row>
  </sheetData>
  <mergeCells count="1">
    <mergeCell ref="A1:J1"/>
  </mergeCells>
  <phoneticPr fontId="12" type="noConversion"/>
  <hyperlinks>
    <hyperlink ref="L1" r:id="rId1" tooltip="설계예산시스템(STmate w9.83)으로 작성 하였으며,_x000a_엑셀 인쇄품질 600 dpi에 최적화 되어 있습니다._x000a_경영정보(주) http://www.stma.co.kr_x000a_Tel) 070-4350-0040_x000a_Fax) 0505-300-3948" xr:uid="{00000000-0004-0000-1200-000000000000}"/>
    <hyperlink ref="K1" r:id="rId2" tooltip="설계예산시스템(STmate w9.83)으로 작성 하였으며,_x000a_엑셀 인쇄품질 600 dpi에 최적화 되어 있습니다._x000a_경영정보(주) http://www.stma.co.kr_x000a_Tel) 070-4350-0040_x000a_Fax) 0505-300-3948" xr:uid="{00000000-0004-0000-1200-000001000000}"/>
  </hyperlinks>
  <printOptions horizontalCentered="1"/>
  <pageMargins left="0.78740157480314965" right="0.78740157480314965" top="0.59055118110236215" bottom="0.59055118110236215" header="0" footer="0.39370078740157477"/>
  <pageSetup paperSize="9" scale="87" fitToWidth="0" fitToHeight="0" orientation="landscape" r:id="rId3"/>
  <headerFooter alignWithMargins="0">
    <oddFooter>&amp;C&amp;"굴림체,"&amp;9 - &amp;P -&amp;R&amp;"굴림체,"&amp;9 인천광역시 계양구청(건설과)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0000FF"/>
  </sheetPr>
  <dimension ref="B2:X77"/>
  <sheetViews>
    <sheetView workbookViewId="0"/>
  </sheetViews>
  <sheetFormatPr defaultColWidth="9.125" defaultRowHeight="16.5" x14ac:dyDescent="0.3"/>
  <cols>
    <col min="1" max="1" width="9.125" style="65" customWidth="1"/>
    <col min="2" max="2" width="16.75" style="65" customWidth="1"/>
    <col min="3" max="3" width="15.25" style="65" customWidth="1"/>
    <col min="4" max="24" width="2.5" style="65" customWidth="1"/>
    <col min="25" max="16384" width="9.125" style="65"/>
  </cols>
  <sheetData>
    <row r="2" spans="2:24" ht="19.5" x14ac:dyDescent="0.3">
      <c r="B2" s="138" t="s">
        <v>462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</row>
    <row r="4" spans="2:24" hidden="1" x14ac:dyDescent="0.3">
      <c r="B4" s="66" t="s">
        <v>463</v>
      </c>
      <c r="C4" s="69" t="b">
        <f ca="1">ISERROR(SUM(C6:X15,C18:X20))</f>
        <v>1</v>
      </c>
      <c r="D4" s="72">
        <f>ROW(C21)</f>
        <v>21</v>
      </c>
    </row>
    <row r="5" spans="2:24" hidden="1" x14ac:dyDescent="0.3">
      <c r="B5" s="67" t="s">
        <v>464</v>
      </c>
      <c r="C5" s="67" t="s">
        <v>465</v>
      </c>
      <c r="D5" s="67" t="s">
        <v>466</v>
      </c>
      <c r="E5" s="67" t="s">
        <v>467</v>
      </c>
      <c r="F5" s="67" t="s">
        <v>468</v>
      </c>
      <c r="G5" s="67" t="s">
        <v>469</v>
      </c>
      <c r="H5" s="67" t="s">
        <v>457</v>
      </c>
      <c r="I5" s="67" t="s">
        <v>470</v>
      </c>
      <c r="J5" s="67" t="s">
        <v>471</v>
      </c>
      <c r="K5" s="67" t="s">
        <v>472</v>
      </c>
      <c r="L5" s="67" t="s">
        <v>473</v>
      </c>
      <c r="M5" s="67" t="s">
        <v>474</v>
      </c>
      <c r="N5" s="67" t="s">
        <v>475</v>
      </c>
      <c r="O5" s="67" t="s">
        <v>476</v>
      </c>
      <c r="P5" s="67" t="s">
        <v>477</v>
      </c>
      <c r="Q5" s="67" t="s">
        <v>478</v>
      </c>
      <c r="R5" s="67" t="s">
        <v>479</v>
      </c>
      <c r="S5" s="67" t="s">
        <v>480</v>
      </c>
      <c r="T5" s="67" t="s">
        <v>481</v>
      </c>
      <c r="U5" s="67" t="s">
        <v>482</v>
      </c>
      <c r="V5" s="67" t="s">
        <v>483</v>
      </c>
      <c r="W5" s="67" t="s">
        <v>484</v>
      </c>
      <c r="X5" s="67" t="s">
        <v>485</v>
      </c>
    </row>
    <row r="6" spans="2:24" hidden="1" x14ac:dyDescent="0.3">
      <c r="B6" s="68" t="s">
        <v>486</v>
      </c>
      <c r="C6" s="70" t="e">
        <f ca="1">IF(D6="","재료비목록표",MID(D6,FIND("]",D6)+1,LEN(D6)))</f>
        <v>#REF!</v>
      </c>
      <c r="D6" s="70" t="e">
        <f ca="1">CELL("filename",#REF!)</f>
        <v>#REF!</v>
      </c>
      <c r="E6" s="73"/>
      <c r="F6" s="74" t="e">
        <f ca="1">HYPERLINK("#"&amp;C6&amp;"!"&amp;CHAR(COLUMN(#REF!)+64)&amp;3,COLUMN(#REF!))</f>
        <v>#REF!</v>
      </c>
      <c r="G6" s="74" t="e">
        <f ca="1">HYPERLINK("#"&amp;C6&amp;"!"&amp;CHAR(COLUMN(#REF!)+64)&amp;3,COLUMN(#REF!))</f>
        <v>#REF!</v>
      </c>
      <c r="H6" s="73"/>
      <c r="I6" s="74" t="e">
        <f ca="1">HYPERLINK("#"&amp;C6&amp;"!"&amp;CHAR(COLUMN(#REF!)+64)&amp;3,COLUMN(#REF!))</f>
        <v>#REF!</v>
      </c>
      <c r="J6" s="74" t="e">
        <f ca="1">HYPERLINK("#"&amp;C6&amp;"!A"&amp;ROW(#REF!),ROW(#REF!))</f>
        <v>#REF!</v>
      </c>
      <c r="K6" s="74" t="e">
        <f ca="1">HYPERLINK("#"&amp;C6&amp;"!A"&amp;ROW(#REF!),ROW(#REF!))</f>
        <v>#REF!</v>
      </c>
      <c r="L6" s="74" t="e">
        <f ca="1">HYPERLINK("#"&amp;C6&amp;"!"&amp;CHAR(COLUMN(#REF!)+64)&amp;3,COLUMN(#REF!))</f>
        <v>#REF!</v>
      </c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4" t="e">
        <f ca="1">HYPERLINK("#"&amp;C6&amp;"!"&amp;CHAR(COLUMN(#REF!)+64)&amp;3,COLUMN(#REF!))</f>
        <v>#REF!</v>
      </c>
    </row>
    <row r="7" spans="2:24" hidden="1" x14ac:dyDescent="0.3">
      <c r="B7" s="68" t="s">
        <v>487</v>
      </c>
      <c r="C7" s="70" t="e">
        <f ca="1">IF(D7="","노무비목록표",MID(D7,FIND("]",D7)+1,LEN(D7)))</f>
        <v>#REF!</v>
      </c>
      <c r="D7" s="70" t="e">
        <f ca="1">CELL("filename",#REF!)</f>
        <v>#REF!</v>
      </c>
      <c r="E7" s="73"/>
      <c r="F7" s="74" t="e">
        <f ca="1">HYPERLINK("#"&amp;C7&amp;"!"&amp;CHAR(COLUMN(#REF!)+64)&amp;3,COLUMN(#REF!))</f>
        <v>#REF!</v>
      </c>
      <c r="G7" s="74" t="e">
        <f ca="1">HYPERLINK("#"&amp;C7&amp;"!"&amp;CHAR(COLUMN(#REF!)+64)&amp;3,COLUMN(#REF!))</f>
        <v>#REF!</v>
      </c>
      <c r="H7" s="73"/>
      <c r="I7" s="74" t="e">
        <f ca="1">HYPERLINK("#"&amp;C7&amp;"!"&amp;CHAR(COLUMN(#REF!)+64)&amp;3,COLUMN(#REF!))</f>
        <v>#REF!</v>
      </c>
      <c r="J7" s="74" t="e">
        <f ca="1">HYPERLINK("#"&amp;C7&amp;"!A"&amp;ROW(#REF!),ROW(#REF!))</f>
        <v>#REF!</v>
      </c>
      <c r="K7" s="74" t="e">
        <f ca="1">HYPERLINK("#"&amp;C7&amp;"!A"&amp;ROW(#REF!),ROW(#REF!))</f>
        <v>#REF!</v>
      </c>
      <c r="L7" s="74" t="e">
        <f ca="1">HYPERLINK("#"&amp;C7&amp;"!"&amp;CHAR(COLUMN(#REF!)+64)&amp;3,COLUMN(#REF!))</f>
        <v>#REF!</v>
      </c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4" t="e">
        <f ca="1">HYPERLINK("#"&amp;C7&amp;"!"&amp;CHAR(COLUMN(#REF!)+64)&amp;3,COLUMN(#REF!))</f>
        <v>#REF!</v>
      </c>
    </row>
    <row r="8" spans="2:24" hidden="1" x14ac:dyDescent="0.3">
      <c r="B8" s="68" t="s">
        <v>488</v>
      </c>
      <c r="C8" s="70" t="e">
        <f ca="1">IF(D8="","경비목록표",MID(D8,FIND("]",D8)+1,LEN(D8)))</f>
        <v>#REF!</v>
      </c>
      <c r="D8" s="70" t="e">
        <f ca="1">CELL("filename",#REF!)</f>
        <v>#REF!</v>
      </c>
      <c r="E8" s="73"/>
      <c r="F8" s="74" t="e">
        <f ca="1">HYPERLINK("#"&amp;C8&amp;"!"&amp;CHAR(COLUMN(#REF!)+64)&amp;3,COLUMN(#REF!))</f>
        <v>#REF!</v>
      </c>
      <c r="G8" s="74" t="e">
        <f ca="1">HYPERLINK("#"&amp;C8&amp;"!"&amp;CHAR(COLUMN(#REF!)+64)&amp;3,COLUMN(#REF!))</f>
        <v>#REF!</v>
      </c>
      <c r="H8" s="73"/>
      <c r="I8" s="74" t="e">
        <f ca="1">HYPERLINK("#"&amp;C8&amp;"!"&amp;CHAR(COLUMN(#REF!)+64)&amp;3,COLUMN(#REF!))</f>
        <v>#REF!</v>
      </c>
      <c r="J8" s="74" t="e">
        <f ca="1">HYPERLINK("#"&amp;C8&amp;"!A"&amp;ROW(#REF!),ROW(#REF!))</f>
        <v>#REF!</v>
      </c>
      <c r="K8" s="74" t="e">
        <f ca="1">HYPERLINK("#"&amp;C8&amp;"!A"&amp;ROW(#REF!),ROW(#REF!))</f>
        <v>#REF!</v>
      </c>
      <c r="L8" s="74" t="e">
        <f ca="1">HYPERLINK("#"&amp;C8&amp;"!"&amp;CHAR(COLUMN(#REF!)+64)&amp;3,COLUMN(#REF!))</f>
        <v>#REF!</v>
      </c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4" t="e">
        <f ca="1">HYPERLINK("#"&amp;C8&amp;"!"&amp;CHAR(COLUMN(#REF!)+64)&amp;3,COLUMN(#REF!))</f>
        <v>#REF!</v>
      </c>
    </row>
    <row r="9" spans="2:24" hidden="1" x14ac:dyDescent="0.3">
      <c r="B9" s="68" t="s">
        <v>489</v>
      </c>
      <c r="C9" s="68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</row>
    <row r="10" spans="2:24" hidden="1" x14ac:dyDescent="0.3">
      <c r="B10" s="68" t="s">
        <v>490</v>
      </c>
      <c r="C10" s="70" t="str">
        <f ca="1">IF(D10="","환율및기초자료",MID(D10,FIND("]",D10)+1,LEN(D10)))</f>
        <v>환율및기초자료</v>
      </c>
      <c r="D10" s="70" t="str">
        <f ca="1">CELL("filename",환율및기초자료!A1)</f>
        <v>D:\아자아자\공고문\공사(2026)\80.2026년 계양구 관내 민원처리 빗물받이 정비공사\[공내역서.xlsx]환율및기초자료</v>
      </c>
      <c r="E10" s="74">
        <f ca="1">HYPERLINK("#"&amp;C10&amp;"!"&amp;CHAR(COLUMN(환율및기초자료!B1)+64)&amp;5,COLUMN(환율및기초자료!B1))</f>
        <v>2</v>
      </c>
      <c r="F10" s="74">
        <f ca="1">HYPERLINK("#"&amp;C10&amp;"!"&amp;CHAR(COLUMN(환율및기초자료!C1)+64)&amp;5,COLUMN(환율및기초자료!C1))</f>
        <v>3</v>
      </c>
      <c r="G10" s="74">
        <f ca="1">HYPERLINK("#"&amp;C10&amp;"!"&amp;CHAR(COLUMN(환율및기초자료!D1)+64)&amp;5,COLUMN(환율및기초자료!D1))</f>
        <v>4</v>
      </c>
      <c r="H10" s="73"/>
      <c r="I10" s="74">
        <f ca="1">HYPERLINK("#"&amp;C10&amp;"!"&amp;CHAR(COLUMN(환율및기초자료!E1)+64)&amp;5,COLUMN(환율및기초자료!E1))</f>
        <v>5</v>
      </c>
      <c r="J10" s="74">
        <f ca="1">HYPERLINK("#"&amp;C10&amp;"!A"&amp;ROW(환율및기초자료!A6),ROW(환율및기초자료!A6))</f>
        <v>6</v>
      </c>
      <c r="K10" s="74">
        <f ca="1">HYPERLINK("#"&amp;C10&amp;"!A"&amp;ROW(환율및기초자료!A16),ROW(환율및기초자료!A16))</f>
        <v>16</v>
      </c>
      <c r="L10" s="74">
        <f ca="1">HYPERLINK("#"&amp;C10&amp;"!"&amp;CHAR(COLUMN(환율및기초자료!F1)+64)&amp;5,COLUMN(환율및기초자료!F1))</f>
        <v>6</v>
      </c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4">
        <f ca="1">HYPERLINK("#"&amp;C10&amp;"!"&amp;CHAR(COLUMN(환율및기초자료!I1)+64)&amp;5,COLUMN(환율및기초자료!I1))</f>
        <v>9</v>
      </c>
    </row>
    <row r="11" spans="2:24" hidden="1" x14ac:dyDescent="0.3">
      <c r="B11" s="68" t="s">
        <v>491</v>
      </c>
      <c r="C11" s="70" t="e">
        <f ca="1">IF(D11="","중기목록표",MID(D11,FIND("]",D11)+1,LEN(D11)))</f>
        <v>#REF!</v>
      </c>
      <c r="D11" s="70" t="e">
        <f ca="1">CELL("filename",#REF!)</f>
        <v>#REF!</v>
      </c>
      <c r="E11" s="73"/>
      <c r="F11" s="74" t="e">
        <f ca="1">HYPERLINK("#"&amp;C11&amp;"!"&amp;CHAR(COLUMN(#REF!)+64)&amp;3,COLUMN(#REF!))</f>
        <v>#REF!</v>
      </c>
      <c r="G11" s="74" t="e">
        <f ca="1">HYPERLINK("#"&amp;C11&amp;"!"&amp;CHAR(COLUMN(#REF!)+64)&amp;3,COLUMN(#REF!))</f>
        <v>#REF!</v>
      </c>
      <c r="H11" s="73"/>
      <c r="I11" s="74" t="e">
        <f ca="1">HYPERLINK("#"&amp;C11&amp;"!"&amp;CHAR(COLUMN(#REF!)+64)&amp;3,COLUMN(#REF!))</f>
        <v>#REF!</v>
      </c>
      <c r="J11" s="74" t="e">
        <f ca="1">HYPERLINK("#"&amp;C11&amp;"!A"&amp;ROW(#REF!),ROW(#REF!))</f>
        <v>#REF!</v>
      </c>
      <c r="K11" s="74" t="e">
        <f ca="1">HYPERLINK("#"&amp;C11&amp;"!A"&amp;ROW(#REF!),ROW(#REF!))</f>
        <v>#REF!</v>
      </c>
      <c r="L11" s="74" t="e">
        <f ca="1">HYPERLINK("#"&amp;C11&amp;"!"&amp;CHAR(COLUMN(#REF!)+64)&amp;3,COLUMN(#REF!))</f>
        <v>#REF!</v>
      </c>
      <c r="M11" s="73"/>
      <c r="N11" s="74" t="e">
        <f ca="1">HYPERLINK("#"&amp;C11&amp;"!"&amp;CHAR(COLUMN(#REF!)+64)&amp;3,COLUMN(#REF!))</f>
        <v>#REF!</v>
      </c>
      <c r="O11" s="73"/>
      <c r="P11" s="74" t="e">
        <f ca="1">HYPERLINK("#"&amp;C11&amp;"!"&amp;CHAR(COLUMN(#REF!)+64)&amp;3,COLUMN(#REF!))</f>
        <v>#REF!</v>
      </c>
      <c r="Q11" s="73"/>
      <c r="R11" s="74" t="e">
        <f ca="1">HYPERLINK("#"&amp;C11&amp;"!"&amp;CHAR(COLUMN(#REF!)+64)&amp;3,COLUMN(#REF!))</f>
        <v>#REF!</v>
      </c>
      <c r="S11" s="73"/>
      <c r="T11" s="73"/>
      <c r="U11" s="73"/>
      <c r="V11" s="73"/>
      <c r="W11" s="73"/>
      <c r="X11" s="74" t="e">
        <f ca="1">HYPERLINK("#"&amp;C11&amp;"!"&amp;CHAR(COLUMN(#REF!)+64)&amp;3,COLUMN(#REF!))</f>
        <v>#REF!</v>
      </c>
    </row>
    <row r="12" spans="2:24" hidden="1" x14ac:dyDescent="0.3">
      <c r="B12" s="68" t="s">
        <v>492</v>
      </c>
      <c r="C12" s="68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2:24" hidden="1" x14ac:dyDescent="0.3">
      <c r="B13" s="68" t="s">
        <v>493</v>
      </c>
      <c r="C13" s="70" t="e">
        <f ca="1">IF(D13="","일위대가목록표",MID(D13,FIND("]",D13)+1,LEN(D13)))</f>
        <v>#REF!</v>
      </c>
      <c r="D13" s="70" t="e">
        <f ca="1">CELL("filename",#REF!)</f>
        <v>#REF!</v>
      </c>
      <c r="E13" s="73"/>
      <c r="F13" s="74" t="e">
        <f ca="1">HYPERLINK("#"&amp;C13&amp;"!"&amp;CHAR(COLUMN(#REF!)+64)&amp;3,COLUMN(#REF!))</f>
        <v>#REF!</v>
      </c>
      <c r="G13" s="74" t="e">
        <f ca="1">HYPERLINK("#"&amp;C13&amp;"!"&amp;CHAR(COLUMN(#REF!)+64)&amp;3,COLUMN(#REF!))</f>
        <v>#REF!</v>
      </c>
      <c r="H13" s="73"/>
      <c r="I13" s="74" t="e">
        <f ca="1">HYPERLINK("#"&amp;C13&amp;"!"&amp;CHAR(COLUMN(#REF!)+64)&amp;3,COLUMN(#REF!))</f>
        <v>#REF!</v>
      </c>
      <c r="J13" s="74" t="e">
        <f ca="1">HYPERLINK("#"&amp;C13&amp;"!A"&amp;ROW(#REF!),ROW(#REF!))</f>
        <v>#REF!</v>
      </c>
      <c r="K13" s="74" t="e">
        <f ca="1">HYPERLINK("#"&amp;C13&amp;"!A"&amp;ROW(#REF!),ROW(#REF!))</f>
        <v>#REF!</v>
      </c>
      <c r="L13" s="74" t="e">
        <f ca="1">HYPERLINK("#"&amp;C13&amp;"!"&amp;CHAR(COLUMN(#REF!)+64)&amp;3,COLUMN(#REF!))</f>
        <v>#REF!</v>
      </c>
      <c r="M13" s="73"/>
      <c r="N13" s="74" t="e">
        <f ca="1">HYPERLINK("#"&amp;C13&amp;"!"&amp;CHAR(COLUMN(#REF!)+64)&amp;3,COLUMN(#REF!))</f>
        <v>#REF!</v>
      </c>
      <c r="O13" s="73"/>
      <c r="P13" s="74" t="e">
        <f ca="1">HYPERLINK("#"&amp;C13&amp;"!"&amp;CHAR(COLUMN(#REF!)+64)&amp;3,COLUMN(#REF!))</f>
        <v>#REF!</v>
      </c>
      <c r="Q13" s="73"/>
      <c r="R13" s="74" t="e">
        <f ca="1">HYPERLINK("#"&amp;C13&amp;"!"&amp;CHAR(COLUMN(#REF!)+64)&amp;3,COLUMN(#REF!))</f>
        <v>#REF!</v>
      </c>
      <c r="S13" s="73"/>
      <c r="T13" s="73"/>
      <c r="U13" s="73"/>
      <c r="V13" s="73"/>
      <c r="W13" s="73"/>
      <c r="X13" s="74" t="e">
        <f ca="1">HYPERLINK("#"&amp;C13&amp;"!"&amp;CHAR(COLUMN(#REF!)+64)&amp;3,COLUMN(#REF!))</f>
        <v>#REF!</v>
      </c>
    </row>
    <row r="14" spans="2:24" hidden="1" x14ac:dyDescent="0.3">
      <c r="B14" s="68" t="s">
        <v>494</v>
      </c>
      <c r="C14" s="70" t="e">
        <f ca="1">IF(D14="","단가산출근거목록표",MID(D14,FIND("]",D14)+1,LEN(D14)))</f>
        <v>#REF!</v>
      </c>
      <c r="D14" s="70" t="e">
        <f ca="1">CELL("filename",#REF!)</f>
        <v>#REF!</v>
      </c>
      <c r="E14" s="73"/>
      <c r="F14" s="74" t="e">
        <f ca="1">HYPERLINK("#"&amp;C14&amp;"!"&amp;CHAR(COLUMN(#REF!)+64)&amp;3,COLUMN(#REF!))</f>
        <v>#REF!</v>
      </c>
      <c r="G14" s="74" t="e">
        <f ca="1">HYPERLINK("#"&amp;C14&amp;"!"&amp;CHAR(COLUMN(#REF!)+64)&amp;3,COLUMN(#REF!))</f>
        <v>#REF!</v>
      </c>
      <c r="H14" s="73"/>
      <c r="I14" s="74" t="e">
        <f ca="1">HYPERLINK("#"&amp;C14&amp;"!"&amp;CHAR(COLUMN(#REF!)+64)&amp;3,COLUMN(#REF!))</f>
        <v>#REF!</v>
      </c>
      <c r="J14" s="74" t="e">
        <f ca="1">HYPERLINK("#"&amp;C14&amp;"!A"&amp;ROW(#REF!),ROW(#REF!))</f>
        <v>#REF!</v>
      </c>
      <c r="K14" s="74" t="e">
        <f ca="1">HYPERLINK("#"&amp;C14&amp;"!A"&amp;ROW(#REF!),ROW(#REF!))</f>
        <v>#REF!</v>
      </c>
      <c r="L14" s="74" t="e">
        <f ca="1">HYPERLINK("#"&amp;C14&amp;"!"&amp;CHAR(COLUMN(#REF!)+64)&amp;3,COLUMN(#REF!))</f>
        <v>#REF!</v>
      </c>
      <c r="M14" s="73"/>
      <c r="N14" s="74" t="e">
        <f ca="1">HYPERLINK("#"&amp;C14&amp;"!"&amp;CHAR(COLUMN(#REF!)+64)&amp;3,COLUMN(#REF!))</f>
        <v>#REF!</v>
      </c>
      <c r="O14" s="73"/>
      <c r="P14" s="74" t="e">
        <f ca="1">HYPERLINK("#"&amp;C14&amp;"!"&amp;CHAR(COLUMN(#REF!)+64)&amp;3,COLUMN(#REF!))</f>
        <v>#REF!</v>
      </c>
      <c r="Q14" s="73"/>
      <c r="R14" s="74" t="e">
        <f ca="1">HYPERLINK("#"&amp;C14&amp;"!"&amp;CHAR(COLUMN(#REF!)+64)&amp;3,COLUMN(#REF!))</f>
        <v>#REF!</v>
      </c>
      <c r="S14" s="73"/>
      <c r="T14" s="73"/>
      <c r="U14" s="73"/>
      <c r="V14" s="73"/>
      <c r="W14" s="73"/>
      <c r="X14" s="74" t="e">
        <f ca="1">HYPERLINK("#"&amp;C14&amp;"!"&amp;CHAR(COLUMN(#REF!)+64)&amp;3,COLUMN(#REF!))</f>
        <v>#REF!</v>
      </c>
    </row>
    <row r="15" spans="2:24" hidden="1" x14ac:dyDescent="0.3">
      <c r="B15" s="68" t="s">
        <v>495</v>
      </c>
      <c r="C15" s="70" t="e">
        <f ca="1">IF(D15="","자재단가대비표",MID(D15,FIND("]",D15)+1,LEN(D15)))</f>
        <v>#REF!</v>
      </c>
      <c r="D15" s="70" t="e">
        <f ca="1">CELL("filename",#REF!)</f>
        <v>#REF!</v>
      </c>
      <c r="E15" s="73"/>
      <c r="F15" s="74" t="e">
        <f ca="1">HYPERLINK("#"&amp;C15&amp;"!"&amp;CHAR(COLUMN(#REF!)+64)&amp;4,COLUMN(#REF!))</f>
        <v>#REF!</v>
      </c>
      <c r="G15" s="74" t="e">
        <f ca="1">HYPERLINK("#"&amp;C15&amp;"!"&amp;CHAR(COLUMN(#REF!)+64)&amp;4,COLUMN(#REF!))</f>
        <v>#REF!</v>
      </c>
      <c r="H15" s="73"/>
      <c r="I15" s="74" t="e">
        <f ca="1">HYPERLINK("#"&amp;C15&amp;"!"&amp;CHAR(COLUMN(#REF!)+64)&amp;4,COLUMN(#REF!))</f>
        <v>#REF!</v>
      </c>
      <c r="J15" s="74" t="e">
        <f ca="1">HYPERLINK("#"&amp;C15&amp;"!A"&amp;ROW(#REF!),ROW(#REF!))</f>
        <v>#REF!</v>
      </c>
      <c r="K15" s="74" t="e">
        <f ca="1">HYPERLINK("#"&amp;C15&amp;"!A"&amp;ROW(#REF!),ROW(#REF!))</f>
        <v>#REF!</v>
      </c>
      <c r="L15" s="74" t="e">
        <f ca="1">HYPERLINK("#"&amp;C15&amp;"!"&amp;CHAR(COLUMN(#REF!)+64)&amp;4,COLUMN(#REF!))</f>
        <v>#REF!</v>
      </c>
      <c r="M15" s="74" t="e">
        <f ca="1">HYPERLINK("#"&amp;C15&amp;"!"&amp;CHAR(COLUMN(#REF!)+64)&amp;4,COLUMN(#REF!))</f>
        <v>#REF!</v>
      </c>
      <c r="N15" s="74" t="e">
        <f ca="1">HYPERLINK("#"&amp;C15&amp;"!"&amp;CHAR(COLUMN(#REF!)+64)&amp;4,COLUMN(#REF!))</f>
        <v>#REF!</v>
      </c>
      <c r="O15" s="74" t="e">
        <f ca="1">HYPERLINK("#"&amp;C15&amp;"!"&amp;CHAR(COLUMN(#REF!)+64)&amp;4,COLUMN(#REF!))</f>
        <v>#REF!</v>
      </c>
      <c r="P15" s="74" t="e">
        <f ca="1">HYPERLINK("#"&amp;C15&amp;"!"&amp;CHAR(COLUMN(#REF!)+64)&amp;4,COLUMN(#REF!))</f>
        <v>#REF!</v>
      </c>
      <c r="Q15" s="74" t="e">
        <f ca="1">HYPERLINK("#"&amp;C15&amp;"!"&amp;CHAR(COLUMN(#REF!)+64)&amp;4,COLUMN(#REF!))</f>
        <v>#REF!</v>
      </c>
      <c r="R15" s="74" t="e">
        <f ca="1">HYPERLINK("#"&amp;C15&amp;"!"&amp;CHAR(COLUMN(#REF!)+64)&amp;4,COLUMN(#REF!))</f>
        <v>#REF!</v>
      </c>
      <c r="S15" s="74" t="e">
        <f ca="1">HYPERLINK("#"&amp;C15&amp;"!"&amp;CHAR(COLUMN(#REF!)+64)&amp;4,COLUMN(#REF!))</f>
        <v>#REF!</v>
      </c>
      <c r="T15" s="74" t="e">
        <f ca="1">HYPERLINK("#"&amp;C15&amp;"!"&amp;CHAR(COLUMN(#REF!)+64)&amp;4,COLUMN(#REF!))</f>
        <v>#REF!</v>
      </c>
      <c r="U15" s="74" t="e">
        <f ca="1">HYPERLINK("#"&amp;C15&amp;"!"&amp;CHAR(COLUMN(#REF!)+64)&amp;4,COLUMN(#REF!))</f>
        <v>#REF!</v>
      </c>
      <c r="V15" s="74" t="e">
        <f ca="1">HYPERLINK("#"&amp;C15&amp;"!"&amp;CHAR(COLUMN(#REF!)+64)&amp;4,COLUMN(#REF!))</f>
        <v>#REF!</v>
      </c>
      <c r="W15" s="74" t="e">
        <f ca="1">HYPERLINK("#"&amp;C15&amp;"!"&amp;CHAR(COLUMN(#REF!)+64)&amp;4,COLUMN(#REF!))</f>
        <v>#REF!</v>
      </c>
      <c r="X15" s="74" t="e">
        <f ca="1">HYPERLINK("#"&amp;C15&amp;"!"&amp;CHAR(COLUMN(#REF!)+64)&amp;4,COLUMN(#REF!))</f>
        <v>#REF!</v>
      </c>
    </row>
    <row r="16" spans="2:24" hidden="1" x14ac:dyDescent="0.3">
      <c r="B16" s="68" t="s">
        <v>496</v>
      </c>
      <c r="C16" s="70" t="str">
        <f ca="1">IF(D16="","설계내역서",MID(D16,FIND("]",D16)+1,LEN(D16)))</f>
        <v>설계내역서</v>
      </c>
      <c r="D16" s="70" t="str">
        <f ca="1">CELL("filename",설계내역서!A1)</f>
        <v>D:\아자아자\공고문\공사(2026)\80.2026년 계양구 관내 민원처리 빗물받이 정비공사\[공내역서.xlsx]설계내역서</v>
      </c>
      <c r="E16" s="74">
        <f ca="1">HYPERLINK("#"&amp;C16&amp;"!"&amp;CHAR(COLUMN(설계내역서!A1)+64)&amp;4,COLUMN(설계내역서!A1))</f>
        <v>1</v>
      </c>
      <c r="F16" s="74">
        <f ca="1">HYPERLINK("#"&amp;C16&amp;"!"&amp;CHAR(COLUMN(설계내역서!B1)+64)&amp;4,COLUMN(설계내역서!B1))</f>
        <v>2</v>
      </c>
      <c r="G16" s="74">
        <f ca="1">HYPERLINK("#"&amp;C16&amp;"!"&amp;CHAR(COLUMN(설계내역서!C1)+64)&amp;4,COLUMN(설계내역서!C1))</f>
        <v>3</v>
      </c>
      <c r="H16" s="74">
        <f ca="1">HYPERLINK("#"&amp;C16&amp;"!"&amp;CHAR(COLUMN(설계내역서!D1)+64)&amp;4,COLUMN(설계내역서!D1))</f>
        <v>4</v>
      </c>
      <c r="I16" s="74">
        <f ca="1">HYPERLINK("#"&amp;C16&amp;"!"&amp;CHAR(COLUMN(설계내역서!E1)+64)&amp;4,COLUMN(설계내역서!E1))</f>
        <v>5</v>
      </c>
      <c r="J16" s="74">
        <f ca="1">HYPERLINK("#"&amp;C16&amp;"!A"&amp;ROW(설계내역서!A5),ROW(설계내역서!A5))</f>
        <v>5</v>
      </c>
      <c r="K16" s="74" t="e">
        <f ca="1">HYPERLINK("#"&amp;C16&amp;"!A"&amp;ROW(설계내역서!#REF!),ROW(설계내역서!#REF!))</f>
        <v>#REF!</v>
      </c>
      <c r="L16" s="74">
        <f ca="1">HYPERLINK("#"&amp;C16&amp;"!"&amp;CHAR(COLUMN(설계내역서!L1)+64)&amp;4,COLUMN(설계내역서!L1))</f>
        <v>12</v>
      </c>
      <c r="M16" s="74">
        <f ca="1">HYPERLINK("#"&amp;C16&amp;"!"&amp;CHAR(COLUMN(설계내역서!M1)+64)&amp;4,COLUMN(설계내역서!M1))</f>
        <v>13</v>
      </c>
      <c r="N16" s="74">
        <f ca="1">HYPERLINK("#"&amp;C16&amp;"!"&amp;CHAR(COLUMN(설계내역서!F1)+64)&amp;4,COLUMN(설계내역서!F1))</f>
        <v>6</v>
      </c>
      <c r="O16" s="74">
        <f ca="1">HYPERLINK("#"&amp;C16&amp;"!"&amp;CHAR(COLUMN(설계내역서!G1)+64)&amp;4,COLUMN(설계내역서!G1))</f>
        <v>7</v>
      </c>
      <c r="P16" s="74">
        <f ca="1">HYPERLINK("#"&amp;C16&amp;"!"&amp;CHAR(COLUMN(설계내역서!H1)+64)&amp;4,COLUMN(설계내역서!H1))</f>
        <v>8</v>
      </c>
      <c r="Q16" s="74">
        <f ca="1">HYPERLINK("#"&amp;C16&amp;"!"&amp;CHAR(COLUMN(설계내역서!I1)+64)&amp;4,COLUMN(설계내역서!I1))</f>
        <v>9</v>
      </c>
      <c r="R16" s="74">
        <f ca="1">HYPERLINK("#"&amp;C16&amp;"!"&amp;CHAR(COLUMN(설계내역서!J1)+64)&amp;4,COLUMN(설계내역서!J1))</f>
        <v>10</v>
      </c>
      <c r="S16" s="74">
        <f ca="1">HYPERLINK("#"&amp;C16&amp;"!"&amp;CHAR(COLUMN(설계내역서!K1)+64)&amp;4,COLUMN(설계내역서!K1))</f>
        <v>11</v>
      </c>
      <c r="T16" s="73"/>
      <c r="U16" s="73"/>
      <c r="V16" s="73"/>
      <c r="W16" s="73"/>
      <c r="X16" s="74">
        <f ca="1">HYPERLINK("#"&amp;C16&amp;"!"&amp;CHAR(COLUMN(설계내역서!O1)+64)&amp;4,COLUMN(설계내역서!O1))</f>
        <v>15</v>
      </c>
    </row>
    <row r="17" spans="2:24" hidden="1" x14ac:dyDescent="0.3">
      <c r="B17" s="68" t="s">
        <v>497</v>
      </c>
      <c r="C17" s="70" t="str">
        <f ca="1">IF(D17="","총괄내역서",MID(D17,FIND("]",D17)+1,LEN(D17)))</f>
        <v>총괄내역서</v>
      </c>
      <c r="D17" s="70" t="str">
        <f ca="1">CELL("filename",총괄내역서!A1)</f>
        <v>D:\아자아자\공고문\공사(2026)\80.2026년 계양구 관내 민원처리 빗물받이 정비공사\[공내역서.xlsx]총괄내역서</v>
      </c>
      <c r="E17" s="74">
        <f ca="1">HYPERLINK("#"&amp;C17&amp;"!"&amp;CHAR(COLUMN(총괄내역서!A1)+64)&amp;3,COLUMN(총괄내역서!A1))</f>
        <v>1</v>
      </c>
      <c r="F17" s="74">
        <f ca="1">HYPERLINK("#"&amp;C17&amp;"!"&amp;CHAR(COLUMN(총괄내역서!B1)+64)&amp;3,COLUMN(총괄내역서!B1))</f>
        <v>2</v>
      </c>
      <c r="G17" s="74">
        <f ca="1">HYPERLINK("#"&amp;C17&amp;"!"&amp;CHAR(COLUMN(총괄내역서!C1)+64)&amp;3,COLUMN(총괄내역서!C1))</f>
        <v>3</v>
      </c>
      <c r="H17" s="73"/>
      <c r="I17" s="74">
        <f ca="1">HYPERLINK("#"&amp;C17&amp;"!"&amp;CHAR(COLUMN(총괄내역서!D1)+64)&amp;3,COLUMN(총괄내역서!D1))</f>
        <v>4</v>
      </c>
      <c r="J17" s="74">
        <f ca="1">HYPERLINK("#"&amp;C17&amp;"!A"&amp;ROW(총괄내역서!A4),ROW(총괄내역서!A4))</f>
        <v>4</v>
      </c>
      <c r="K17" s="74">
        <f ca="1">HYPERLINK("#"&amp;C17&amp;"!A"&amp;ROW(총괄내역서!A26),ROW(총괄내역서!A26))</f>
        <v>26</v>
      </c>
      <c r="L17" s="74">
        <f ca="1">HYPERLINK("#"&amp;C17&amp;"!"&amp;CHAR(COLUMN(총괄내역서!G1)+64)&amp;3,COLUMN(총괄내역서!G1))</f>
        <v>7</v>
      </c>
      <c r="M17" s="74">
        <f ca="1">HYPERLINK("#"&amp;C17&amp;"!"&amp;CHAR(COLUMN(총괄내역서!I1)+64)&amp;3,COLUMN(총괄내역서!I1))</f>
        <v>9</v>
      </c>
      <c r="N17" s="74">
        <f ca="1">HYPERLINK("#"&amp;C17&amp;"!"&amp;CHAR(COLUMN(총괄내역서!M1)+64)&amp;3,COLUMN(총괄내역서!M1))</f>
        <v>13</v>
      </c>
      <c r="O17" s="74">
        <f ca="1">HYPERLINK("#"&amp;C17&amp;"!"&amp;CHAR(COLUMN(총괄내역서!N1)+64)&amp;3,COLUMN(총괄내역서!N1))</f>
        <v>14</v>
      </c>
      <c r="P17" s="74">
        <f ca="1">HYPERLINK("#"&amp;C17&amp;"!"&amp;CHAR(COLUMN(총괄내역서!O1)+64)&amp;3,COLUMN(총괄내역서!O1))</f>
        <v>15</v>
      </c>
      <c r="Q17" s="74">
        <f ca="1">HYPERLINK("#"&amp;C17&amp;"!"&amp;CHAR(COLUMN(총괄내역서!P1)+64)&amp;3,COLUMN(총괄내역서!P1))</f>
        <v>16</v>
      </c>
      <c r="R17" s="73"/>
      <c r="S17" s="73"/>
      <c r="T17" s="73"/>
      <c r="U17" s="73"/>
      <c r="V17" s="73"/>
      <c r="W17" s="73"/>
      <c r="X17" s="74">
        <f ca="1">HYPERLINK("#"&amp;C17&amp;"!"&amp;CHAR(COLUMN(총괄내역서!H1)+64)&amp;3,COLUMN(총괄내역서!H1))</f>
        <v>8</v>
      </c>
    </row>
    <row r="18" spans="2:24" hidden="1" x14ac:dyDescent="0.3">
      <c r="B18" s="68" t="s">
        <v>461</v>
      </c>
      <c r="C18" s="70" t="e">
        <f ca="1">IF(D18="","중기사용료",MID(D18,FIND("]",D18)+1,LEN(D18)))</f>
        <v>#REF!</v>
      </c>
      <c r="D18" s="70" t="e">
        <f ca="1">CELL("filename",#REF!)</f>
        <v>#REF!</v>
      </c>
      <c r="E18" s="73"/>
      <c r="F18" s="74" t="e">
        <f ca="1">HYPERLINK("#"&amp;C18&amp;"!"&amp;CHAR(COLUMN(#REF!)+64)&amp;4,COLUMN(#REF!))</f>
        <v>#REF!</v>
      </c>
      <c r="G18" s="74" t="e">
        <f ca="1">HYPERLINK("#"&amp;C18&amp;"!"&amp;CHAR(COLUMN(#REF!)+64)&amp;4,COLUMN(#REF!))</f>
        <v>#REF!</v>
      </c>
      <c r="H18" s="74" t="e">
        <f ca="1">HYPERLINK("#"&amp;C18&amp;"!"&amp;CHAR(COLUMN(#REF!)+64)&amp;4,COLUMN(#REF!))</f>
        <v>#REF!</v>
      </c>
      <c r="I18" s="74" t="e">
        <f ca="1">HYPERLINK("#"&amp;C18&amp;"!"&amp;CHAR(COLUMN(#REF!)+64)&amp;4,COLUMN(#REF!))</f>
        <v>#REF!</v>
      </c>
      <c r="J18" s="74" t="e">
        <f ca="1">HYPERLINK("#"&amp;C18&amp;"!A"&amp;ROW(#REF!),ROW(#REF!))</f>
        <v>#REF!</v>
      </c>
      <c r="K18" s="74" t="e">
        <f ca="1">HYPERLINK("#"&amp;C18&amp;"!A"&amp;ROW(#REF!),ROW(#REF!))</f>
        <v>#REF!</v>
      </c>
      <c r="L18" s="74" t="e">
        <f ca="1">HYPERLINK("#"&amp;C18&amp;"!"&amp;CHAR(COLUMN(#REF!)+64)&amp;4,COLUMN(#REF!))</f>
        <v>#REF!</v>
      </c>
      <c r="M18" s="74" t="e">
        <f ca="1">HYPERLINK("#"&amp;C18&amp;"!"&amp;CHAR(COLUMN(#REF!)+64)&amp;4,COLUMN(#REF!))</f>
        <v>#REF!</v>
      </c>
      <c r="N18" s="74" t="e">
        <f ca="1">HYPERLINK("#"&amp;C18&amp;"!"&amp;CHAR(COLUMN(#REF!)+64)&amp;4,COLUMN(#REF!))</f>
        <v>#REF!</v>
      </c>
      <c r="O18" s="74" t="e">
        <f ca="1">HYPERLINK("#"&amp;C18&amp;"!"&amp;CHAR(COLUMN(#REF!)+64)&amp;4,COLUMN(#REF!))</f>
        <v>#REF!</v>
      </c>
      <c r="P18" s="74" t="e">
        <f ca="1">HYPERLINK("#"&amp;C18&amp;"!"&amp;CHAR(COLUMN(#REF!)+64)&amp;4,COLUMN(#REF!))</f>
        <v>#REF!</v>
      </c>
      <c r="Q18" s="74" t="e">
        <f ca="1">HYPERLINK("#"&amp;C18&amp;"!"&amp;CHAR(COLUMN(#REF!)+64)&amp;4,COLUMN(#REF!))</f>
        <v>#REF!</v>
      </c>
      <c r="R18" s="74" t="e">
        <f ca="1">HYPERLINK("#"&amp;C18&amp;"!"&amp;CHAR(COLUMN(#REF!)+64)&amp;4,COLUMN(#REF!))</f>
        <v>#REF!</v>
      </c>
      <c r="S18" s="74" t="e">
        <f ca="1">HYPERLINK("#"&amp;C18&amp;"!"&amp;CHAR(COLUMN(#REF!)+64)&amp;4,COLUMN(#REF!))</f>
        <v>#REF!</v>
      </c>
      <c r="T18" s="73"/>
      <c r="U18" s="73"/>
      <c r="V18" s="73"/>
      <c r="W18" s="73"/>
      <c r="X18" s="74" t="e">
        <f ca="1">HYPERLINK("#"&amp;C18&amp;"!"&amp;CHAR(COLUMN(#REF!)+64)&amp;4,COLUMN(#REF!))</f>
        <v>#REF!</v>
      </c>
    </row>
    <row r="19" spans="2:24" hidden="1" x14ac:dyDescent="0.3">
      <c r="B19" s="68" t="s">
        <v>498</v>
      </c>
      <c r="C19" s="70" t="e">
        <f ca="1">IF(D19="","일위대가표",MID(D19,FIND("]",D19)+1,LEN(D19)))</f>
        <v>#REF!</v>
      </c>
      <c r="D19" s="70" t="e">
        <f ca="1">CELL("filename",#REF!)</f>
        <v>#REF!</v>
      </c>
      <c r="E19" s="73"/>
      <c r="F19" s="74" t="e">
        <f ca="1">HYPERLINK("#"&amp;C19&amp;"!"&amp;CHAR(COLUMN(#REF!)+64)&amp;4,COLUMN(#REF!))</f>
        <v>#REF!</v>
      </c>
      <c r="G19" s="74" t="e">
        <f ca="1">HYPERLINK("#"&amp;C19&amp;"!"&amp;CHAR(COLUMN(#REF!)+64)&amp;4,COLUMN(#REF!))</f>
        <v>#REF!</v>
      </c>
      <c r="H19" s="74" t="e">
        <f ca="1">HYPERLINK("#"&amp;C19&amp;"!"&amp;CHAR(COLUMN(#REF!)+64)&amp;4,COLUMN(#REF!))</f>
        <v>#REF!</v>
      </c>
      <c r="I19" s="74" t="e">
        <f ca="1">HYPERLINK("#"&amp;C19&amp;"!"&amp;CHAR(COLUMN(#REF!)+64)&amp;4,COLUMN(#REF!))</f>
        <v>#REF!</v>
      </c>
      <c r="J19" s="74" t="e">
        <f ca="1">HYPERLINK("#"&amp;C19&amp;"!A"&amp;ROW(#REF!),ROW(#REF!))</f>
        <v>#REF!</v>
      </c>
      <c r="K19" s="74" t="e">
        <f ca="1">HYPERLINK("#"&amp;C19&amp;"!A"&amp;ROW(#REF!),ROW(#REF!))</f>
        <v>#REF!</v>
      </c>
      <c r="L19" s="74" t="e">
        <f ca="1">HYPERLINK("#"&amp;C19&amp;"!"&amp;CHAR(COLUMN(#REF!)+64)&amp;4,COLUMN(#REF!))</f>
        <v>#REF!</v>
      </c>
      <c r="M19" s="74" t="e">
        <f ca="1">HYPERLINK("#"&amp;C19&amp;"!"&amp;CHAR(COLUMN(#REF!)+64)&amp;4,COLUMN(#REF!))</f>
        <v>#REF!</v>
      </c>
      <c r="N19" s="74" t="e">
        <f ca="1">HYPERLINK("#"&amp;C19&amp;"!"&amp;CHAR(COLUMN(#REF!)+64)&amp;4,COLUMN(#REF!))</f>
        <v>#REF!</v>
      </c>
      <c r="O19" s="74" t="e">
        <f ca="1">HYPERLINK("#"&amp;C19&amp;"!"&amp;CHAR(COLUMN(#REF!)+64)&amp;4,COLUMN(#REF!))</f>
        <v>#REF!</v>
      </c>
      <c r="P19" s="74" t="e">
        <f ca="1">HYPERLINK("#"&amp;C19&amp;"!"&amp;CHAR(COLUMN(#REF!)+64)&amp;4,COLUMN(#REF!))</f>
        <v>#REF!</v>
      </c>
      <c r="Q19" s="74" t="e">
        <f ca="1">HYPERLINK("#"&amp;C19&amp;"!"&amp;CHAR(COLUMN(#REF!)+64)&amp;4,COLUMN(#REF!))</f>
        <v>#REF!</v>
      </c>
      <c r="R19" s="74" t="e">
        <f ca="1">HYPERLINK("#"&amp;C19&amp;"!"&amp;CHAR(COLUMN(#REF!)+64)&amp;4,COLUMN(#REF!))</f>
        <v>#REF!</v>
      </c>
      <c r="S19" s="74" t="e">
        <f ca="1">HYPERLINK("#"&amp;C19&amp;"!"&amp;CHAR(COLUMN(#REF!)+64)&amp;4,COLUMN(#REF!))</f>
        <v>#REF!</v>
      </c>
      <c r="T19" s="73"/>
      <c r="U19" s="73"/>
      <c r="V19" s="73"/>
      <c r="W19" s="73"/>
      <c r="X19" s="74" t="e">
        <f ca="1">HYPERLINK("#"&amp;C19&amp;"!"&amp;CHAR(COLUMN(#REF!)+64)&amp;4,COLUMN(#REF!))</f>
        <v>#REF!</v>
      </c>
    </row>
    <row r="20" spans="2:24" hidden="1" x14ac:dyDescent="0.3">
      <c r="B20" s="68" t="s">
        <v>499</v>
      </c>
      <c r="C20" s="70" t="e">
        <f ca="1">IF(D20="","단가산출근거",MID(D20,FIND("]",D20)+1,LEN(D20)))</f>
        <v>#REF!</v>
      </c>
      <c r="D20" s="70" t="e">
        <f ca="1">CELL("filename",#REF!)</f>
        <v>#REF!</v>
      </c>
      <c r="E20" s="74" t="e">
        <f ca="1">HYPERLINK("#"&amp;C20&amp;"!"&amp;CHAR(COLUMN(#REF!)+64)&amp;4,COLUMN(#REF!))</f>
        <v>#REF!</v>
      </c>
      <c r="F20" s="74" t="e">
        <f ca="1">HYPERLINK("#"&amp;C20&amp;"!"&amp;CHAR(COLUMN(#REF!)+64)&amp;4,COLUMN(#REF!))</f>
        <v>#REF!</v>
      </c>
      <c r="G20" s="73"/>
      <c r="H20" s="73"/>
      <c r="I20" s="73"/>
      <c r="J20" s="74" t="e">
        <f ca="1">HYPERLINK("#"&amp;C20&amp;"!A"&amp;ROW(#REF!),ROW(#REF!))</f>
        <v>#REF!</v>
      </c>
      <c r="K20" s="74" t="e">
        <f ca="1">HYPERLINK("#"&amp;C20&amp;"!A"&amp;ROW(#REF!),ROW(#REF!))</f>
        <v>#REF!</v>
      </c>
      <c r="L20" s="74" t="e">
        <f ca="1">HYPERLINK("#"&amp;C20&amp;"!"&amp;CHAR(COLUMN(#REF!)+64)&amp;4,COLUMN(#REF!))</f>
        <v>#REF!</v>
      </c>
      <c r="M20" s="73"/>
      <c r="N20" s="74" t="e">
        <f ca="1">HYPERLINK("#"&amp;C20&amp;"!"&amp;CHAR(COLUMN(#REF!)+64)&amp;4,COLUMN(#REF!))</f>
        <v>#REF!</v>
      </c>
      <c r="O20" s="73"/>
      <c r="P20" s="74" t="e">
        <f ca="1">HYPERLINK("#"&amp;C20&amp;"!"&amp;CHAR(COLUMN(#REF!)+64)&amp;4,COLUMN(#REF!))</f>
        <v>#REF!</v>
      </c>
      <c r="Q20" s="73"/>
      <c r="R20" s="74" t="e">
        <f ca="1">HYPERLINK("#"&amp;C20&amp;"!"&amp;CHAR(COLUMN(#REF!)+64)&amp;4,COLUMN(#REF!))</f>
        <v>#REF!</v>
      </c>
      <c r="S20" s="73"/>
      <c r="T20" s="73"/>
      <c r="U20" s="73"/>
      <c r="V20" s="73"/>
      <c r="W20" s="73"/>
      <c r="X20" s="74" t="e">
        <f ca="1">HYPERLINK("#"&amp;C20&amp;"!"&amp;CHAR(COLUMN(#REF!)+64)&amp;4,COLUMN(#REF!))</f>
        <v>#REF!</v>
      </c>
    </row>
    <row r="21" spans="2:24" hidden="1" x14ac:dyDescent="0.3">
      <c r="B21" s="66" t="s">
        <v>500</v>
      </c>
      <c r="D21" s="72">
        <f>ROW(C30)</f>
        <v>30</v>
      </c>
    </row>
    <row r="22" spans="2:24" hidden="1" x14ac:dyDescent="0.3">
      <c r="B22" s="68" t="s">
        <v>501</v>
      </c>
      <c r="C22" s="68" t="s">
        <v>502</v>
      </c>
    </row>
    <row r="23" spans="2:24" hidden="1" x14ac:dyDescent="0.3">
      <c r="B23" s="68" t="s">
        <v>503</v>
      </c>
      <c r="C23" s="68" t="s">
        <v>504</v>
      </c>
    </row>
    <row r="24" spans="2:24" hidden="1" x14ac:dyDescent="0.3">
      <c r="B24" s="68" t="s">
        <v>505</v>
      </c>
      <c r="C24" s="68" t="s">
        <v>506</v>
      </c>
    </row>
    <row r="25" spans="2:24" hidden="1" x14ac:dyDescent="0.3">
      <c r="B25" s="68" t="s">
        <v>507</v>
      </c>
      <c r="C25" s="68" t="s">
        <v>506</v>
      </c>
    </row>
    <row r="26" spans="2:24" hidden="1" x14ac:dyDescent="0.3">
      <c r="B26" s="68" t="s">
        <v>508</v>
      </c>
      <c r="C26" s="68" t="s">
        <v>506</v>
      </c>
    </row>
    <row r="27" spans="2:24" hidden="1" x14ac:dyDescent="0.3">
      <c r="B27" s="68" t="s">
        <v>509</v>
      </c>
      <c r="C27" s="70" t="s">
        <v>510</v>
      </c>
    </row>
    <row r="28" spans="2:24" hidden="1" x14ac:dyDescent="0.3">
      <c r="B28" s="68" t="s">
        <v>511</v>
      </c>
      <c r="C28" s="68" t="s">
        <v>353</v>
      </c>
    </row>
    <row r="29" spans="2:24" hidden="1" x14ac:dyDescent="0.3">
      <c r="B29" s="68" t="s">
        <v>512</v>
      </c>
      <c r="C29" s="68" t="s">
        <v>354</v>
      </c>
    </row>
    <row r="30" spans="2:24" hidden="1" x14ac:dyDescent="0.3">
      <c r="B30" s="66" t="s">
        <v>513</v>
      </c>
      <c r="D30" s="72">
        <f>ROW(C49)</f>
        <v>49</v>
      </c>
    </row>
    <row r="31" spans="2:24" hidden="1" x14ac:dyDescent="0.3">
      <c r="B31" s="68" t="s">
        <v>514</v>
      </c>
      <c r="C31" s="68" t="s">
        <v>353</v>
      </c>
      <c r="D31" s="68" t="s">
        <v>353</v>
      </c>
      <c r="E31" s="68" t="s">
        <v>506</v>
      </c>
      <c r="F31" s="68" t="s">
        <v>506</v>
      </c>
      <c r="G31" s="68" t="s">
        <v>506</v>
      </c>
      <c r="H31" s="68" t="s">
        <v>506</v>
      </c>
      <c r="I31" s="68" t="s">
        <v>506</v>
      </c>
      <c r="J31" s="68" t="s">
        <v>506</v>
      </c>
      <c r="K31" s="68" t="s">
        <v>506</v>
      </c>
      <c r="L31" s="68" t="s">
        <v>506</v>
      </c>
    </row>
    <row r="32" spans="2:24" hidden="1" x14ac:dyDescent="0.3">
      <c r="B32" s="68" t="s">
        <v>515</v>
      </c>
      <c r="C32" s="71">
        <f>환율및기초자료!C3</f>
        <v>1466</v>
      </c>
      <c r="D32" s="71">
        <f>환율및기초자료!D3</f>
        <v>1466</v>
      </c>
      <c r="E32" s="71">
        <f>환율및기초자료!C3</f>
        <v>1466</v>
      </c>
      <c r="F32" s="71">
        <f>환율및기초자료!D3</f>
        <v>1466</v>
      </c>
      <c r="G32" s="71">
        <f>환율및기초자료!E3</f>
        <v>1000</v>
      </c>
      <c r="H32" s="71">
        <f>환율및기초자료!E3</f>
        <v>1000</v>
      </c>
      <c r="I32" s="71">
        <f>환율및기초자료!G3</f>
        <v>1000</v>
      </c>
      <c r="J32" s="71">
        <f>환율및기초자료!G3</f>
        <v>1000</v>
      </c>
    </row>
    <row r="33" spans="2:8" hidden="1" x14ac:dyDescent="0.3">
      <c r="B33" s="68" t="s">
        <v>516</v>
      </c>
      <c r="C33" s="70" t="s">
        <v>510</v>
      </c>
    </row>
    <row r="34" spans="2:8" hidden="1" x14ac:dyDescent="0.3">
      <c r="B34" s="68" t="s">
        <v>517</v>
      </c>
      <c r="C34" s="68" t="s">
        <v>518</v>
      </c>
      <c r="D34" s="68"/>
      <c r="E34" s="68" t="s">
        <v>519</v>
      </c>
      <c r="F34" s="68" t="s">
        <v>520</v>
      </c>
      <c r="G34" s="68"/>
      <c r="H34" s="68"/>
    </row>
    <row r="35" spans="2:8" hidden="1" x14ac:dyDescent="0.3">
      <c r="B35" s="68" t="s">
        <v>521</v>
      </c>
      <c r="C35" s="68" t="s">
        <v>522</v>
      </c>
      <c r="D35" s="68"/>
      <c r="E35" s="68"/>
      <c r="F35" s="68"/>
      <c r="G35" s="68"/>
      <c r="H35" s="68"/>
    </row>
    <row r="36" spans="2:8" hidden="1" x14ac:dyDescent="0.3">
      <c r="B36" s="68" t="s">
        <v>523</v>
      </c>
      <c r="C36" s="68" t="s">
        <v>353</v>
      </c>
    </row>
    <row r="37" spans="2:8" hidden="1" x14ac:dyDescent="0.3">
      <c r="B37" s="68" t="s">
        <v>524</v>
      </c>
      <c r="C37" s="68" t="s">
        <v>353</v>
      </c>
    </row>
    <row r="38" spans="2:8" hidden="1" x14ac:dyDescent="0.3">
      <c r="B38" s="68" t="s">
        <v>525</v>
      </c>
      <c r="C38" s="68" t="s">
        <v>506</v>
      </c>
    </row>
    <row r="39" spans="2:8" hidden="1" x14ac:dyDescent="0.3">
      <c r="B39" s="68" t="s">
        <v>526</v>
      </c>
      <c r="C39" s="68" t="s">
        <v>353</v>
      </c>
    </row>
    <row r="40" spans="2:8" hidden="1" x14ac:dyDescent="0.3">
      <c r="B40" s="68" t="s">
        <v>527</v>
      </c>
      <c r="C40" s="68" t="s">
        <v>353</v>
      </c>
    </row>
    <row r="41" spans="2:8" hidden="1" x14ac:dyDescent="0.3">
      <c r="B41" s="68" t="s">
        <v>528</v>
      </c>
      <c r="C41" s="68" t="s">
        <v>354</v>
      </c>
    </row>
    <row r="42" spans="2:8" hidden="1" x14ac:dyDescent="0.3">
      <c r="B42" s="68" t="s">
        <v>529</v>
      </c>
      <c r="C42" s="70" t="s">
        <v>510</v>
      </c>
    </row>
    <row r="43" spans="2:8" hidden="1" x14ac:dyDescent="0.3">
      <c r="B43" s="68" t="s">
        <v>530</v>
      </c>
      <c r="C43" s="70" t="s">
        <v>510</v>
      </c>
    </row>
    <row r="44" spans="2:8" hidden="1" x14ac:dyDescent="0.3">
      <c r="B44" s="68" t="s">
        <v>531</v>
      </c>
      <c r="C44" s="70" t="s">
        <v>510</v>
      </c>
    </row>
    <row r="45" spans="2:8" hidden="1" x14ac:dyDescent="0.3">
      <c r="B45" s="68" t="s">
        <v>532</v>
      </c>
      <c r="C45" s="70" t="s">
        <v>510</v>
      </c>
    </row>
    <row r="46" spans="2:8" hidden="1" x14ac:dyDescent="0.3">
      <c r="B46" s="68" t="s">
        <v>533</v>
      </c>
      <c r="C46" s="68" t="s">
        <v>534</v>
      </c>
    </row>
    <row r="47" spans="2:8" hidden="1" x14ac:dyDescent="0.3">
      <c r="B47" s="68" t="s">
        <v>535</v>
      </c>
      <c r="C47" s="70" t="s">
        <v>536</v>
      </c>
    </row>
    <row r="48" spans="2:8" hidden="1" x14ac:dyDescent="0.3">
      <c r="B48" s="68" t="s">
        <v>537</v>
      </c>
      <c r="C48" s="68" t="s">
        <v>538</v>
      </c>
    </row>
    <row r="49" spans="2:6" hidden="1" x14ac:dyDescent="0.3">
      <c r="B49" s="66" t="s">
        <v>539</v>
      </c>
      <c r="D49" s="72">
        <f>ROW(C72)</f>
        <v>72</v>
      </c>
    </row>
    <row r="50" spans="2:6" hidden="1" x14ac:dyDescent="0.3">
      <c r="B50" s="68" t="s">
        <v>540</v>
      </c>
      <c r="C50" s="68" t="s">
        <v>4</v>
      </c>
      <c r="D50" s="68" t="s">
        <v>5</v>
      </c>
      <c r="E50" s="68" t="s">
        <v>6</v>
      </c>
      <c r="F50" s="68" t="s">
        <v>7</v>
      </c>
    </row>
    <row r="51" spans="2:6" hidden="1" x14ac:dyDescent="0.3">
      <c r="B51" s="68" t="s">
        <v>541</v>
      </c>
      <c r="C51" s="68" t="s">
        <v>542</v>
      </c>
    </row>
    <row r="52" spans="2:6" hidden="1" x14ac:dyDescent="0.3">
      <c r="B52" s="68" t="s">
        <v>543</v>
      </c>
      <c r="C52" s="68" t="s">
        <v>544</v>
      </c>
    </row>
    <row r="53" spans="2:6" hidden="1" x14ac:dyDescent="0.3">
      <c r="B53" s="68" t="s">
        <v>545</v>
      </c>
      <c r="C53" s="68" t="s">
        <v>358</v>
      </c>
      <c r="D53" s="68" t="s">
        <v>365</v>
      </c>
    </row>
    <row r="54" spans="2:6" hidden="1" x14ac:dyDescent="0.3">
      <c r="B54" s="68" t="s">
        <v>546</v>
      </c>
      <c r="C54" s="68" t="s">
        <v>360</v>
      </c>
      <c r="D54" s="68" t="s">
        <v>366</v>
      </c>
    </row>
    <row r="55" spans="2:6" hidden="1" x14ac:dyDescent="0.3">
      <c r="B55" s="68" t="s">
        <v>547</v>
      </c>
      <c r="C55" s="68" t="s">
        <v>361</v>
      </c>
      <c r="D55" s="68" t="s">
        <v>367</v>
      </c>
    </row>
    <row r="56" spans="2:6" hidden="1" x14ac:dyDescent="0.3">
      <c r="B56" s="68" t="s">
        <v>548</v>
      </c>
      <c r="C56" s="68" t="s">
        <v>362</v>
      </c>
      <c r="D56" s="68" t="s">
        <v>368</v>
      </c>
    </row>
    <row r="57" spans="2:6" hidden="1" x14ac:dyDescent="0.3">
      <c r="B57" s="68" t="s">
        <v>549</v>
      </c>
      <c r="C57" s="68" t="s">
        <v>363</v>
      </c>
      <c r="D57" s="68" t="s">
        <v>369</v>
      </c>
    </row>
    <row r="58" spans="2:6" hidden="1" x14ac:dyDescent="0.3">
      <c r="B58" s="68" t="s">
        <v>550</v>
      </c>
      <c r="C58" s="68" t="s">
        <v>364</v>
      </c>
    </row>
    <row r="59" spans="2:6" hidden="1" x14ac:dyDescent="0.3">
      <c r="B59" s="68" t="s">
        <v>551</v>
      </c>
      <c r="C59" s="68" t="s">
        <v>0</v>
      </c>
    </row>
    <row r="60" spans="2:6" hidden="1" x14ac:dyDescent="0.3">
      <c r="B60" s="68" t="s">
        <v>552</v>
      </c>
      <c r="C60" s="68" t="s">
        <v>553</v>
      </c>
    </row>
    <row r="61" spans="2:6" hidden="1" x14ac:dyDescent="0.3">
      <c r="B61" s="68" t="s">
        <v>554</v>
      </c>
      <c r="C61" s="68" t="s">
        <v>555</v>
      </c>
    </row>
    <row r="62" spans="2:6" hidden="1" x14ac:dyDescent="0.3">
      <c r="B62" s="68" t="s">
        <v>556</v>
      </c>
      <c r="C62" s="68" t="s">
        <v>557</v>
      </c>
    </row>
    <row r="63" spans="2:6" hidden="1" x14ac:dyDescent="0.3">
      <c r="B63" s="68" t="s">
        <v>558</v>
      </c>
      <c r="C63" s="68" t="s">
        <v>371</v>
      </c>
    </row>
    <row r="64" spans="2:6" hidden="1" x14ac:dyDescent="0.3">
      <c r="B64" s="68" t="s">
        <v>559</v>
      </c>
      <c r="C64" s="68" t="s">
        <v>1</v>
      </c>
    </row>
    <row r="65" spans="2:4" hidden="1" x14ac:dyDescent="0.3">
      <c r="B65" s="68" t="s">
        <v>560</v>
      </c>
      <c r="C65" s="68" t="s">
        <v>2</v>
      </c>
    </row>
    <row r="66" spans="2:4" hidden="1" x14ac:dyDescent="0.3">
      <c r="B66" s="68" t="s">
        <v>561</v>
      </c>
      <c r="C66" s="68" t="s">
        <v>372</v>
      </c>
    </row>
    <row r="67" spans="2:4" hidden="1" x14ac:dyDescent="0.3">
      <c r="B67" s="68" t="s">
        <v>562</v>
      </c>
      <c r="C67" s="68" t="s">
        <v>3</v>
      </c>
    </row>
    <row r="68" spans="2:4" hidden="1" x14ac:dyDescent="0.3">
      <c r="B68" s="68" t="s">
        <v>563</v>
      </c>
      <c r="C68" s="68" t="s">
        <v>203</v>
      </c>
    </row>
    <row r="69" spans="2:4" hidden="1" x14ac:dyDescent="0.3">
      <c r="B69" s="68" t="s">
        <v>564</v>
      </c>
      <c r="C69" s="68" t="s">
        <v>359</v>
      </c>
    </row>
    <row r="70" spans="2:4" hidden="1" x14ac:dyDescent="0.3">
      <c r="B70" s="68" t="s">
        <v>565</v>
      </c>
      <c r="C70" s="68" t="s">
        <v>373</v>
      </c>
    </row>
    <row r="71" spans="2:4" hidden="1" x14ac:dyDescent="0.3">
      <c r="B71" s="68" t="s">
        <v>566</v>
      </c>
      <c r="C71" s="68" t="s">
        <v>8</v>
      </c>
    </row>
    <row r="72" spans="2:4" hidden="1" x14ac:dyDescent="0.3">
      <c r="B72" s="66" t="s">
        <v>567</v>
      </c>
      <c r="D72" s="72">
        <f>ROW(C76)</f>
        <v>76</v>
      </c>
    </row>
    <row r="73" spans="2:4" hidden="1" x14ac:dyDescent="0.3">
      <c r="B73" s="68" t="s">
        <v>568</v>
      </c>
      <c r="C73" s="68" t="s">
        <v>569</v>
      </c>
    </row>
    <row r="74" spans="2:4" hidden="1" x14ac:dyDescent="0.3">
      <c r="B74" s="68" t="s">
        <v>570</v>
      </c>
      <c r="C74" s="68" t="s">
        <v>571</v>
      </c>
    </row>
    <row r="75" spans="2:4" hidden="1" x14ac:dyDescent="0.3">
      <c r="B75" s="68" t="s">
        <v>572</v>
      </c>
      <c r="C75" s="68" t="s">
        <v>573</v>
      </c>
    </row>
    <row r="76" spans="2:4" hidden="1" x14ac:dyDescent="0.3">
      <c r="B76" s="66" t="s">
        <v>574</v>
      </c>
    </row>
    <row r="77" spans="2:4" hidden="1" x14ac:dyDescent="0.3"/>
  </sheetData>
  <sheetProtection password="FE8C" sheet="1" objects="1" scenarios="1" selectLockedCells="1"/>
  <mergeCells count="1">
    <mergeCell ref="B2:X2"/>
  </mergeCells>
  <phoneticPr fontId="12" type="noConversion"/>
  <pageMargins left="0.59055118110236215" right="0.59055118110236215" top="0.78740157480314965" bottom="1" header="0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17</vt:i4>
      </vt:variant>
    </vt:vector>
  </HeadingPairs>
  <TitlesOfParts>
    <vt:vector size="26" baseType="lpstr">
      <vt:lpstr>공사원가계산서</vt:lpstr>
      <vt:lpstr>총괄내역서</vt:lpstr>
      <vt:lpstr>설계내역서</vt:lpstr>
      <vt:lpstr>일위대가수량금액집계표</vt:lpstr>
      <vt:lpstr>단가산출근거수량금액집계표</vt:lpstr>
      <vt:lpstr>환율및기초자료</vt:lpstr>
      <vt:lpstr>재료비수량금액집계표</vt:lpstr>
      <vt:lpstr>노무비수량금액집계표</vt:lpstr>
      <vt:lpstr>중기시간금액집계표</vt:lpstr>
      <vt:lpstr>공사원가계산서!Print_Area</vt:lpstr>
      <vt:lpstr>노무비수량금액집계표!Print_Area</vt:lpstr>
      <vt:lpstr>단가산출근거수량금액집계표!Print_Area</vt:lpstr>
      <vt:lpstr>설계내역서!Print_Area</vt:lpstr>
      <vt:lpstr>일위대가수량금액집계표!Print_Area</vt:lpstr>
      <vt:lpstr>재료비수량금액집계표!Print_Area</vt:lpstr>
      <vt:lpstr>중기시간금액집계표!Print_Area</vt:lpstr>
      <vt:lpstr>총괄내역서!Print_Area</vt:lpstr>
      <vt:lpstr>환율및기초자료!Print_Area</vt:lpstr>
      <vt:lpstr>공사원가계산서!Print_Titles</vt:lpstr>
      <vt:lpstr>노무비수량금액집계표!Print_Titles</vt:lpstr>
      <vt:lpstr>단가산출근거수량금액집계표!Print_Titles</vt:lpstr>
      <vt:lpstr>설계내역서!Print_Titles</vt:lpstr>
      <vt:lpstr>일위대가수량금액집계표!Print_Titles</vt:lpstr>
      <vt:lpstr>재료비수량금액집계표!Print_Titles</vt:lpstr>
      <vt:lpstr>중기시간금액집계표!Print_Titles</vt:lpstr>
      <vt:lpstr>총괄내역서!Print_Titles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2020년 하수도 구조물 정비공사(1구역)</dc:title>
  <dc:creator>인천광역시 계양구청(건설과)</dc:creator>
  <cp:lastModifiedBy>user</cp:lastModifiedBy>
  <cp:lastPrinted>2026-09-09T08:05:14Z</cp:lastPrinted>
  <dcterms:created xsi:type="dcterms:W3CDTF">2020-02-25T01:19:19Z</dcterms:created>
  <dcterms:modified xsi:type="dcterms:W3CDTF">2026-09-17T07:12:09Z</dcterms:modified>
</cp:coreProperties>
</file>