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국고지원금\★계약요청\2026\공사\(소액수의)공동실험실습관 외벽개선 환기배관 철거 및 설치공사_김호준\요청\"/>
    </mc:Choice>
  </mc:AlternateContent>
  <xr:revisionPtr revIDLastSave="0" documentId="8_{814B026C-3501-4F21-8475-7D5899493CC2}" xr6:coauthVersionLast="47" xr6:coauthVersionMax="47" xr10:uidLastSave="{00000000-0000-0000-0000-000000000000}"/>
  <bookViews>
    <workbookView xWindow="-120" yWindow="-120" windowWidth="29040" windowHeight="15720" xr2:uid="{A01E3A8B-A0EC-4956-9391-A2586C6AF32D}"/>
  </bookViews>
  <sheets>
    <sheet name="갑지" sheetId="10" r:id="rId1"/>
    <sheet name="원가계산서" sheetId="9" r:id="rId2"/>
    <sheet name="집계표" sheetId="8" r:id="rId3"/>
    <sheet name="내역서" sheetId="7" r:id="rId4"/>
    <sheet name="일위대가목록" sheetId="6" state="hidden" r:id="rId5"/>
    <sheet name="일위대가표" sheetId="5" state="hidden" r:id="rId6"/>
    <sheet name="중기경비목록" sheetId="4" state="hidden" r:id="rId7"/>
    <sheet name="중기경비" sheetId="3" state="hidden" r:id="rId8"/>
    <sheet name="단가대비표" sheetId="2" state="hidden" r:id="rId9"/>
    <sheet name="Sheet1" sheetId="1" r:id="rId10"/>
  </sheets>
  <definedNames>
    <definedName name="_xlnm.Print_Area" localSheetId="3">내역서!$A$1:$M$100</definedName>
    <definedName name="_xlnm.Print_Area" localSheetId="8">단가대비표!$A$1:$P$52</definedName>
    <definedName name="_xlnm.Print_Area" localSheetId="1">원가계산서!$A$1:$F$31</definedName>
    <definedName name="_xlnm.Print_Area" localSheetId="4">일위대가목록!$A$1:$N$20</definedName>
    <definedName name="_xlnm.Print_Area" localSheetId="5">일위대가표!$A$1:$M$68</definedName>
    <definedName name="_xlnm.Print_Area" localSheetId="7">중기경비!$A$1:$M$20</definedName>
    <definedName name="_xlnm.Print_Area" localSheetId="6">중기경비목록!$A$1:$N$20</definedName>
    <definedName name="_xlnm.Print_Area" localSheetId="2">집계표!$A$1:$L$20</definedName>
    <definedName name="_xlnm.Print_Titles" localSheetId="3">내역서!$1:$4</definedName>
    <definedName name="_xlnm.Print_Titles" localSheetId="8">단가대비표!$1:$4</definedName>
    <definedName name="_xlnm.Print_Titles" localSheetId="1">원가계산서!$1:$4</definedName>
    <definedName name="_xlnm.Print_Titles" localSheetId="4">일위대가목록!$1:$4</definedName>
    <definedName name="_xlnm.Print_Titles" localSheetId="5">일위대가표!$1:$4</definedName>
    <definedName name="_xlnm.Print_Titles" localSheetId="7">중기경비!$1:$4</definedName>
    <definedName name="_xlnm.Print_Titles" localSheetId="6">중기경비목록!$1:$4</definedName>
    <definedName name="_xlnm.Print_Titles" localSheetId="2">집계표!$1:$4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1" i="9" l="1"/>
  <c r="D22" i="9"/>
  <c r="D29" i="9"/>
  <c r="D26" i="9"/>
  <c r="D25" i="9"/>
  <c r="D20" i="9"/>
  <c r="D19" i="9"/>
  <c r="D18" i="9"/>
  <c r="D17" i="9"/>
  <c r="D16" i="9"/>
  <c r="D15" i="9"/>
  <c r="D14" i="9"/>
  <c r="D13" i="9"/>
  <c r="D10" i="9"/>
  <c r="AU20" i="8"/>
  <c r="AV20" i="8"/>
  <c r="AW20" i="8"/>
  <c r="AX20" i="8"/>
  <c r="D8" i="8"/>
  <c r="E8" i="8" s="1"/>
  <c r="F8" i="8"/>
  <c r="G8" i="8" s="1"/>
  <c r="AU8" i="8"/>
  <c r="D7" i="8"/>
  <c r="E7" i="8" s="1"/>
  <c r="F7" i="8"/>
  <c r="G7" i="8"/>
  <c r="H7" i="8"/>
  <c r="I7" i="8"/>
  <c r="AU7" i="8"/>
  <c r="H6" i="8"/>
  <c r="I6" i="8"/>
  <c r="AU6" i="8"/>
  <c r="AU5" i="8"/>
  <c r="F100" i="7"/>
  <c r="H100" i="7"/>
  <c r="J100" i="7"/>
  <c r="H8" i="8" s="1"/>
  <c r="I8" i="8" s="1"/>
  <c r="L100" i="7"/>
  <c r="R100" i="7"/>
  <c r="Q8" i="8" s="1"/>
  <c r="S100" i="7"/>
  <c r="R8" i="8" s="1"/>
  <c r="T100" i="7"/>
  <c r="S8" i="8" s="1"/>
  <c r="U100" i="7"/>
  <c r="T8" i="8" s="1"/>
  <c r="V100" i="7"/>
  <c r="U8" i="8" s="1"/>
  <c r="W100" i="7"/>
  <c r="V8" i="8" s="1"/>
  <c r="X100" i="7"/>
  <c r="W8" i="8" s="1"/>
  <c r="Z100" i="7"/>
  <c r="Y8" i="8" s="1"/>
  <c r="AA100" i="7"/>
  <c r="Z8" i="8" s="1"/>
  <c r="AB100" i="7"/>
  <c r="AA8" i="8" s="1"/>
  <c r="AH100" i="7"/>
  <c r="AG8" i="8" s="1"/>
  <c r="AI100" i="7"/>
  <c r="AH8" i="8" s="1"/>
  <c r="AJ100" i="7"/>
  <c r="AI8" i="8" s="1"/>
  <c r="AK100" i="7"/>
  <c r="AJ8" i="8" s="1"/>
  <c r="AL100" i="7"/>
  <c r="AK8" i="8" s="1"/>
  <c r="AM100" i="7"/>
  <c r="AL8" i="8" s="1"/>
  <c r="AN100" i="7"/>
  <c r="AM8" i="8" s="1"/>
  <c r="AO100" i="7"/>
  <c r="AN8" i="8" s="1"/>
  <c r="AP100" i="7"/>
  <c r="AO8" i="8" s="1"/>
  <c r="AQ100" i="7"/>
  <c r="AP8" i="8" s="1"/>
  <c r="AR100" i="7"/>
  <c r="AQ8" i="8" s="1"/>
  <c r="AT100" i="7"/>
  <c r="AS8" i="8" s="1"/>
  <c r="AU100" i="7"/>
  <c r="AT8" i="8" s="1"/>
  <c r="AV100" i="7"/>
  <c r="AW100" i="7"/>
  <c r="AX100" i="7"/>
  <c r="AY100" i="7"/>
  <c r="O86" i="7"/>
  <c r="R86" i="7"/>
  <c r="S86" i="7"/>
  <c r="T86" i="7"/>
  <c r="U86" i="7"/>
  <c r="V86" i="7"/>
  <c r="W86" i="7"/>
  <c r="X86" i="7"/>
  <c r="Y86" i="7"/>
  <c r="Y100" i="7" s="1"/>
  <c r="X8" i="8" s="1"/>
  <c r="Z86" i="7"/>
  <c r="AA86" i="7"/>
  <c r="AB86" i="7"/>
  <c r="AC86" i="7"/>
  <c r="AC100" i="7" s="1"/>
  <c r="AB8" i="8" s="1"/>
  <c r="AD86" i="7"/>
  <c r="AD100" i="7" s="1"/>
  <c r="AC8" i="8" s="1"/>
  <c r="AE86" i="7"/>
  <c r="AE100" i="7" s="1"/>
  <c r="AD8" i="8" s="1"/>
  <c r="AF86" i="7"/>
  <c r="AF100" i="7" s="1"/>
  <c r="AE8" i="8" s="1"/>
  <c r="AG86" i="7"/>
  <c r="AG100" i="7" s="1"/>
  <c r="AF8" i="8" s="1"/>
  <c r="AH86" i="7"/>
  <c r="AI86" i="7"/>
  <c r="AJ86" i="7"/>
  <c r="AK86" i="7"/>
  <c r="AL86" i="7"/>
  <c r="AM86" i="7"/>
  <c r="AN86" i="7"/>
  <c r="AO86" i="7"/>
  <c r="AP86" i="7"/>
  <c r="AQ86" i="7"/>
  <c r="AR86" i="7"/>
  <c r="AS86" i="7"/>
  <c r="AS100" i="7" s="1"/>
  <c r="AR8" i="8" s="1"/>
  <c r="AT86" i="7"/>
  <c r="AU86" i="7"/>
  <c r="F84" i="7"/>
  <c r="H84" i="7"/>
  <c r="J84" i="7"/>
  <c r="L84" i="7"/>
  <c r="R84" i="7"/>
  <c r="Q7" i="8" s="1"/>
  <c r="S84" i="7"/>
  <c r="R7" i="8" s="1"/>
  <c r="T84" i="7"/>
  <c r="S7" i="8" s="1"/>
  <c r="U84" i="7"/>
  <c r="T7" i="8" s="1"/>
  <c r="V84" i="7"/>
  <c r="U7" i="8" s="1"/>
  <c r="AK84" i="7"/>
  <c r="AJ7" i="8" s="1"/>
  <c r="AL84" i="7"/>
  <c r="AK7" i="8" s="1"/>
  <c r="AM84" i="7"/>
  <c r="AL7" i="8" s="1"/>
  <c r="AN84" i="7"/>
  <c r="AM7" i="8" s="1"/>
  <c r="AO84" i="7"/>
  <c r="AN7" i="8" s="1"/>
  <c r="AP84" i="7"/>
  <c r="AO7" i="8" s="1"/>
  <c r="AV84" i="7"/>
  <c r="AW84" i="7"/>
  <c r="AX84" i="7"/>
  <c r="AY84" i="7"/>
  <c r="O72" i="7"/>
  <c r="R72" i="7"/>
  <c r="S72" i="7"/>
  <c r="T72" i="7"/>
  <c r="U72" i="7"/>
  <c r="V72" i="7"/>
  <c r="W72" i="7"/>
  <c r="X72" i="7"/>
  <c r="Y72" i="7"/>
  <c r="Z72" i="7"/>
  <c r="AA72" i="7"/>
  <c r="AB72" i="7"/>
  <c r="AC72" i="7"/>
  <c r="AD72" i="7"/>
  <c r="AE72" i="7"/>
  <c r="AF72" i="7"/>
  <c r="AG72" i="7"/>
  <c r="AH72" i="7"/>
  <c r="AI72" i="7"/>
  <c r="AJ72" i="7"/>
  <c r="AK72" i="7"/>
  <c r="AL72" i="7"/>
  <c r="AM72" i="7"/>
  <c r="AN72" i="7"/>
  <c r="AO72" i="7"/>
  <c r="AP72" i="7"/>
  <c r="AQ72" i="7"/>
  <c r="AR72" i="7"/>
  <c r="AS72" i="7"/>
  <c r="AT72" i="7"/>
  <c r="AU72" i="7"/>
  <c r="O71" i="7"/>
  <c r="R71" i="7"/>
  <c r="S71" i="7"/>
  <c r="T71" i="7"/>
  <c r="U71" i="7"/>
  <c r="V71" i="7"/>
  <c r="W71" i="7"/>
  <c r="X71" i="7"/>
  <c r="Y71" i="7"/>
  <c r="Z71" i="7"/>
  <c r="AA71" i="7"/>
  <c r="AA84" i="7" s="1"/>
  <c r="Z7" i="8" s="1"/>
  <c r="AB71" i="7"/>
  <c r="AB84" i="7" s="1"/>
  <c r="AA7" i="8" s="1"/>
  <c r="AC71" i="7"/>
  <c r="AC84" i="7" s="1"/>
  <c r="AB7" i="8" s="1"/>
  <c r="AD71" i="7"/>
  <c r="AD84" i="7" s="1"/>
  <c r="AC7" i="8" s="1"/>
  <c r="AE71" i="7"/>
  <c r="AE84" i="7" s="1"/>
  <c r="AD7" i="8" s="1"/>
  <c r="AF71" i="7"/>
  <c r="AF84" i="7" s="1"/>
  <c r="AE7" i="8" s="1"/>
  <c r="AG71" i="7"/>
  <c r="AG84" i="7" s="1"/>
  <c r="AF7" i="8" s="1"/>
  <c r="AH71" i="7"/>
  <c r="AH84" i="7" s="1"/>
  <c r="AG7" i="8" s="1"/>
  <c r="AI71" i="7"/>
  <c r="AI84" i="7" s="1"/>
  <c r="AH7" i="8" s="1"/>
  <c r="AJ71" i="7"/>
  <c r="AJ84" i="7" s="1"/>
  <c r="AI7" i="8" s="1"/>
  <c r="AK71" i="7"/>
  <c r="AL71" i="7"/>
  <c r="AM71" i="7"/>
  <c r="AN71" i="7"/>
  <c r="AO71" i="7"/>
  <c r="AP71" i="7"/>
  <c r="AQ71" i="7"/>
  <c r="AR71" i="7"/>
  <c r="AS71" i="7"/>
  <c r="AT71" i="7"/>
  <c r="AU71" i="7"/>
  <c r="AU84" i="7" s="1"/>
  <c r="AT7" i="8" s="1"/>
  <c r="R70" i="7"/>
  <c r="O70" i="7"/>
  <c r="S70" i="7"/>
  <c r="T70" i="7"/>
  <c r="U70" i="7"/>
  <c r="V70" i="7"/>
  <c r="W70" i="7"/>
  <c r="W84" i="7" s="1"/>
  <c r="V7" i="8" s="1"/>
  <c r="X70" i="7"/>
  <c r="X84" i="7" s="1"/>
  <c r="W7" i="8" s="1"/>
  <c r="Y70" i="7"/>
  <c r="Y84" i="7" s="1"/>
  <c r="X7" i="8" s="1"/>
  <c r="Z70" i="7"/>
  <c r="Z84" i="7" s="1"/>
  <c r="Y7" i="8" s="1"/>
  <c r="AA70" i="7"/>
  <c r="AB70" i="7"/>
  <c r="AC70" i="7"/>
  <c r="AD70" i="7"/>
  <c r="AE70" i="7"/>
  <c r="AF70" i="7"/>
  <c r="AG70" i="7"/>
  <c r="AH70" i="7"/>
  <c r="AI70" i="7"/>
  <c r="AJ70" i="7"/>
  <c r="AK70" i="7"/>
  <c r="AL70" i="7"/>
  <c r="AM70" i="7"/>
  <c r="AN70" i="7"/>
  <c r="AO70" i="7"/>
  <c r="AP70" i="7"/>
  <c r="AQ70" i="7"/>
  <c r="AQ84" i="7" s="1"/>
  <c r="AP7" i="8" s="1"/>
  <c r="AR70" i="7"/>
  <c r="AR84" i="7" s="1"/>
  <c r="AQ7" i="8" s="1"/>
  <c r="AS70" i="7"/>
  <c r="AS84" i="7" s="1"/>
  <c r="AR7" i="8" s="1"/>
  <c r="AT70" i="7"/>
  <c r="AT84" i="7" s="1"/>
  <c r="AS7" i="8" s="1"/>
  <c r="AU70" i="7"/>
  <c r="F68" i="7"/>
  <c r="H68" i="7"/>
  <c r="F6" i="8" s="1"/>
  <c r="G6" i="8" s="1"/>
  <c r="J68" i="7"/>
  <c r="AV68" i="7"/>
  <c r="AW68" i="7"/>
  <c r="AX68" i="7"/>
  <c r="AY68" i="7"/>
  <c r="B57" i="7"/>
  <c r="O57" i="7"/>
  <c r="R57" i="7"/>
  <c r="S57" i="7"/>
  <c r="T57" i="7"/>
  <c r="U57" i="7"/>
  <c r="V57" i="7"/>
  <c r="W57" i="7"/>
  <c r="X57" i="7"/>
  <c r="Y57" i="7"/>
  <c r="Z57" i="7"/>
  <c r="AA57" i="7"/>
  <c r="AB57" i="7"/>
  <c r="AC57" i="7"/>
  <c r="AD57" i="7"/>
  <c r="AE57" i="7"/>
  <c r="AF57" i="7"/>
  <c r="AG57" i="7"/>
  <c r="AH57" i="7"/>
  <c r="AI57" i="7"/>
  <c r="AJ57" i="7"/>
  <c r="AK57" i="7"/>
  <c r="AL57" i="7"/>
  <c r="AM57" i="7"/>
  <c r="AN57" i="7"/>
  <c r="AO57" i="7"/>
  <c r="AP57" i="7"/>
  <c r="AQ57" i="7"/>
  <c r="AR57" i="7"/>
  <c r="AS57" i="7"/>
  <c r="AT57" i="7"/>
  <c r="AU57" i="7"/>
  <c r="O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AR56" i="7"/>
  <c r="AS56" i="7"/>
  <c r="AT56" i="7"/>
  <c r="AU56" i="7"/>
  <c r="O55" i="7"/>
  <c r="R55" i="7"/>
  <c r="S55" i="7"/>
  <c r="T55" i="7"/>
  <c r="U55" i="7"/>
  <c r="V55" i="7"/>
  <c r="W55" i="7"/>
  <c r="X55" i="7"/>
  <c r="Y55" i="7"/>
  <c r="Z55" i="7"/>
  <c r="AA55" i="7"/>
  <c r="AB55" i="7"/>
  <c r="AC55" i="7"/>
  <c r="AD55" i="7"/>
  <c r="AE55" i="7"/>
  <c r="AF55" i="7"/>
  <c r="AG55" i="7"/>
  <c r="AH55" i="7"/>
  <c r="AI55" i="7"/>
  <c r="AJ55" i="7"/>
  <c r="AK55" i="7"/>
  <c r="AL55" i="7"/>
  <c r="AM55" i="7"/>
  <c r="AN55" i="7"/>
  <c r="AO55" i="7"/>
  <c r="AP55" i="7"/>
  <c r="AQ55" i="7"/>
  <c r="AR55" i="7"/>
  <c r="AS55" i="7"/>
  <c r="AT55" i="7"/>
  <c r="AU55" i="7"/>
  <c r="O54" i="7"/>
  <c r="R54" i="7"/>
  <c r="S54" i="7"/>
  <c r="T54" i="7"/>
  <c r="U54" i="7"/>
  <c r="V54" i="7"/>
  <c r="W54" i="7"/>
  <c r="X54" i="7"/>
  <c r="Y54" i="7"/>
  <c r="Z54" i="7"/>
  <c r="AA54" i="7"/>
  <c r="AB54" i="7"/>
  <c r="AC54" i="7"/>
  <c r="AD54" i="7"/>
  <c r="AE54" i="7"/>
  <c r="AF54" i="7"/>
  <c r="AG54" i="7"/>
  <c r="AH54" i="7"/>
  <c r="AI54" i="7"/>
  <c r="AJ54" i="7"/>
  <c r="AK54" i="7"/>
  <c r="AL54" i="7"/>
  <c r="AM54" i="7"/>
  <c r="AN54" i="7"/>
  <c r="AO54" i="7"/>
  <c r="AP54" i="7"/>
  <c r="AQ54" i="7"/>
  <c r="AR54" i="7"/>
  <c r="AS54" i="7"/>
  <c r="AT54" i="7"/>
  <c r="AU54" i="7"/>
  <c r="O53" i="7"/>
  <c r="R53" i="7"/>
  <c r="S53" i="7"/>
  <c r="T53" i="7"/>
  <c r="U53" i="7"/>
  <c r="V53" i="7"/>
  <c r="W53" i="7"/>
  <c r="X53" i="7"/>
  <c r="Y53" i="7"/>
  <c r="Z53" i="7"/>
  <c r="AA53" i="7"/>
  <c r="AB53" i="7"/>
  <c r="AC53" i="7"/>
  <c r="AD53" i="7"/>
  <c r="AE53" i="7"/>
  <c r="AF53" i="7"/>
  <c r="AG53" i="7"/>
  <c r="AH53" i="7"/>
  <c r="AI53" i="7"/>
  <c r="AJ53" i="7"/>
  <c r="AK53" i="7"/>
  <c r="AL53" i="7"/>
  <c r="AM53" i="7"/>
  <c r="AN53" i="7"/>
  <c r="AO53" i="7"/>
  <c r="AP53" i="7"/>
  <c r="AQ53" i="7"/>
  <c r="AR53" i="7"/>
  <c r="AS53" i="7"/>
  <c r="AT53" i="7"/>
  <c r="AU53" i="7"/>
  <c r="O52" i="7"/>
  <c r="R52" i="7"/>
  <c r="S52" i="7"/>
  <c r="T52" i="7"/>
  <c r="U52" i="7"/>
  <c r="V52" i="7"/>
  <c r="W52" i="7"/>
  <c r="X52" i="7"/>
  <c r="Y52" i="7"/>
  <c r="Z52" i="7"/>
  <c r="AA52" i="7"/>
  <c r="AB52" i="7"/>
  <c r="AC52" i="7"/>
  <c r="AD52" i="7"/>
  <c r="AE52" i="7"/>
  <c r="AF52" i="7"/>
  <c r="AG52" i="7"/>
  <c r="AH52" i="7"/>
  <c r="AI52" i="7"/>
  <c r="AJ52" i="7"/>
  <c r="AK52" i="7"/>
  <c r="AL52" i="7"/>
  <c r="AM52" i="7"/>
  <c r="AN52" i="7"/>
  <c r="AO52" i="7"/>
  <c r="AP52" i="7"/>
  <c r="AQ52" i="7"/>
  <c r="AR52" i="7"/>
  <c r="AS52" i="7"/>
  <c r="AT52" i="7"/>
  <c r="AU52" i="7"/>
  <c r="O51" i="7"/>
  <c r="R51" i="7"/>
  <c r="S51" i="7"/>
  <c r="T51" i="7"/>
  <c r="U51" i="7"/>
  <c r="V51" i="7"/>
  <c r="W51" i="7"/>
  <c r="X51" i="7"/>
  <c r="Y51" i="7"/>
  <c r="Z51" i="7"/>
  <c r="AA51" i="7"/>
  <c r="AB51" i="7"/>
  <c r="AC51" i="7"/>
  <c r="AD51" i="7"/>
  <c r="AE51" i="7"/>
  <c r="AF51" i="7"/>
  <c r="AG51" i="7"/>
  <c r="AH51" i="7"/>
  <c r="AI51" i="7"/>
  <c r="AJ51" i="7"/>
  <c r="AK51" i="7"/>
  <c r="AL51" i="7"/>
  <c r="AM51" i="7"/>
  <c r="AN51" i="7"/>
  <c r="AO51" i="7"/>
  <c r="AP51" i="7"/>
  <c r="AQ51" i="7"/>
  <c r="AR51" i="7"/>
  <c r="AS51" i="7"/>
  <c r="AT51" i="7"/>
  <c r="AU51" i="7"/>
  <c r="O50" i="7"/>
  <c r="R50" i="7"/>
  <c r="S50" i="7"/>
  <c r="T50" i="7"/>
  <c r="U50" i="7"/>
  <c r="V50" i="7"/>
  <c r="W50" i="7"/>
  <c r="X50" i="7"/>
  <c r="Y50" i="7"/>
  <c r="Z50" i="7"/>
  <c r="AA50" i="7"/>
  <c r="AB50" i="7"/>
  <c r="AC50" i="7"/>
  <c r="AD50" i="7"/>
  <c r="AE50" i="7"/>
  <c r="AF50" i="7"/>
  <c r="AG50" i="7"/>
  <c r="AH50" i="7"/>
  <c r="AI50" i="7"/>
  <c r="AJ50" i="7"/>
  <c r="AK50" i="7"/>
  <c r="AL50" i="7"/>
  <c r="AM50" i="7"/>
  <c r="AN50" i="7"/>
  <c r="AO50" i="7"/>
  <c r="AP50" i="7"/>
  <c r="AQ50" i="7"/>
  <c r="AR50" i="7"/>
  <c r="AS50" i="7"/>
  <c r="AT50" i="7"/>
  <c r="AU50" i="7"/>
  <c r="R49" i="7"/>
  <c r="O49" i="7"/>
  <c r="S49" i="7"/>
  <c r="T49" i="7"/>
  <c r="U49" i="7"/>
  <c r="V49" i="7"/>
  <c r="W49" i="7"/>
  <c r="X49" i="7"/>
  <c r="Y49" i="7"/>
  <c r="Z49" i="7"/>
  <c r="AA49" i="7"/>
  <c r="AB49" i="7"/>
  <c r="AC49" i="7"/>
  <c r="AD49" i="7"/>
  <c r="AE49" i="7"/>
  <c r="AF49" i="7"/>
  <c r="AG49" i="7"/>
  <c r="AH49" i="7"/>
  <c r="AI49" i="7"/>
  <c r="AJ49" i="7"/>
  <c r="AK49" i="7"/>
  <c r="AL49" i="7"/>
  <c r="AM49" i="7"/>
  <c r="AN49" i="7"/>
  <c r="AO49" i="7"/>
  <c r="AP49" i="7"/>
  <c r="AQ49" i="7"/>
  <c r="AR49" i="7"/>
  <c r="AS49" i="7"/>
  <c r="AT49" i="7"/>
  <c r="AU49" i="7"/>
  <c r="O48" i="7"/>
  <c r="R48" i="7"/>
  <c r="S48" i="7"/>
  <c r="T48" i="7"/>
  <c r="U48" i="7"/>
  <c r="V48" i="7"/>
  <c r="W48" i="7"/>
  <c r="X48" i="7"/>
  <c r="Y48" i="7"/>
  <c r="Z48" i="7"/>
  <c r="AA48" i="7"/>
  <c r="AB48" i="7"/>
  <c r="AC48" i="7"/>
  <c r="AD48" i="7"/>
  <c r="AE48" i="7"/>
  <c r="AF48" i="7"/>
  <c r="AG48" i="7"/>
  <c r="AH48" i="7"/>
  <c r="AI48" i="7"/>
  <c r="AJ48" i="7"/>
  <c r="AK48" i="7"/>
  <c r="AL48" i="7"/>
  <c r="AM48" i="7"/>
  <c r="AN48" i="7"/>
  <c r="AO48" i="7"/>
  <c r="AP48" i="7"/>
  <c r="AQ48" i="7"/>
  <c r="AR48" i="7"/>
  <c r="AS48" i="7"/>
  <c r="AT48" i="7"/>
  <c r="AU48" i="7"/>
  <c r="O47" i="7"/>
  <c r="R47" i="7"/>
  <c r="S47" i="7"/>
  <c r="T47" i="7"/>
  <c r="U47" i="7"/>
  <c r="V47" i="7"/>
  <c r="W47" i="7"/>
  <c r="X47" i="7"/>
  <c r="Y47" i="7"/>
  <c r="Z47" i="7"/>
  <c r="AA47" i="7"/>
  <c r="AB47" i="7"/>
  <c r="AC47" i="7"/>
  <c r="AD47" i="7"/>
  <c r="AE47" i="7"/>
  <c r="AF47" i="7"/>
  <c r="AG47" i="7"/>
  <c r="AH47" i="7"/>
  <c r="AI47" i="7"/>
  <c r="AJ47" i="7"/>
  <c r="AK47" i="7"/>
  <c r="AL47" i="7"/>
  <c r="AM47" i="7"/>
  <c r="AN47" i="7"/>
  <c r="AO47" i="7"/>
  <c r="AP47" i="7"/>
  <c r="AQ47" i="7"/>
  <c r="AR47" i="7"/>
  <c r="AS47" i="7"/>
  <c r="AT47" i="7"/>
  <c r="AU47" i="7"/>
  <c r="O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AM46" i="7"/>
  <c r="AN46" i="7"/>
  <c r="AO46" i="7"/>
  <c r="AP46" i="7"/>
  <c r="AQ46" i="7"/>
  <c r="AR46" i="7"/>
  <c r="AS46" i="7"/>
  <c r="AT46" i="7"/>
  <c r="AU46" i="7"/>
  <c r="O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F45" i="7"/>
  <c r="AG45" i="7"/>
  <c r="AH45" i="7"/>
  <c r="AI45" i="7"/>
  <c r="AJ45" i="7"/>
  <c r="AK45" i="7"/>
  <c r="AL45" i="7"/>
  <c r="AM45" i="7"/>
  <c r="AN45" i="7"/>
  <c r="AO45" i="7"/>
  <c r="AP45" i="7"/>
  <c r="AQ45" i="7"/>
  <c r="AR45" i="7"/>
  <c r="AS45" i="7"/>
  <c r="AT45" i="7"/>
  <c r="AU45" i="7"/>
  <c r="O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AF44" i="7"/>
  <c r="AG44" i="7"/>
  <c r="AH44" i="7"/>
  <c r="AI44" i="7"/>
  <c r="AJ44" i="7"/>
  <c r="AK44" i="7"/>
  <c r="AL44" i="7"/>
  <c r="AM44" i="7"/>
  <c r="AN44" i="7"/>
  <c r="AO44" i="7"/>
  <c r="AP44" i="7"/>
  <c r="AQ44" i="7"/>
  <c r="AR44" i="7"/>
  <c r="AS44" i="7"/>
  <c r="AT44" i="7"/>
  <c r="AU44" i="7"/>
  <c r="O43" i="7"/>
  <c r="R43" i="7"/>
  <c r="S43" i="7"/>
  <c r="T43" i="7"/>
  <c r="U43" i="7"/>
  <c r="V43" i="7"/>
  <c r="W43" i="7"/>
  <c r="X43" i="7"/>
  <c r="Y43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AM43" i="7"/>
  <c r="AN43" i="7"/>
  <c r="AO43" i="7"/>
  <c r="AP43" i="7"/>
  <c r="AQ43" i="7"/>
  <c r="AR43" i="7"/>
  <c r="AS43" i="7"/>
  <c r="AT43" i="7"/>
  <c r="AU43" i="7"/>
  <c r="O42" i="7"/>
  <c r="R42" i="7"/>
  <c r="S42" i="7"/>
  <c r="T42" i="7"/>
  <c r="U42" i="7"/>
  <c r="V42" i="7"/>
  <c r="W42" i="7"/>
  <c r="X42" i="7"/>
  <c r="Y42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AM42" i="7"/>
  <c r="AN42" i="7"/>
  <c r="AO42" i="7"/>
  <c r="AP42" i="7"/>
  <c r="AQ42" i="7"/>
  <c r="AR42" i="7"/>
  <c r="AS42" i="7"/>
  <c r="AT42" i="7"/>
  <c r="AU42" i="7"/>
  <c r="O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AM41" i="7"/>
  <c r="AN41" i="7"/>
  <c r="AO41" i="7"/>
  <c r="AP41" i="7"/>
  <c r="AQ41" i="7"/>
  <c r="AR41" i="7"/>
  <c r="AS41" i="7"/>
  <c r="AT41" i="7"/>
  <c r="AU41" i="7"/>
  <c r="O40" i="7"/>
  <c r="R40" i="7"/>
  <c r="S40" i="7"/>
  <c r="T40" i="7"/>
  <c r="U40" i="7"/>
  <c r="V40" i="7"/>
  <c r="W40" i="7"/>
  <c r="X40" i="7"/>
  <c r="Y40" i="7"/>
  <c r="Z40" i="7"/>
  <c r="AA40" i="7"/>
  <c r="AB40" i="7"/>
  <c r="AC40" i="7"/>
  <c r="AD40" i="7"/>
  <c r="AE40" i="7"/>
  <c r="AF40" i="7"/>
  <c r="AG40" i="7"/>
  <c r="AH40" i="7"/>
  <c r="AI40" i="7"/>
  <c r="AJ40" i="7"/>
  <c r="AK40" i="7"/>
  <c r="AL40" i="7"/>
  <c r="AM40" i="7"/>
  <c r="AN40" i="7"/>
  <c r="AO40" i="7"/>
  <c r="AP40" i="7"/>
  <c r="AQ40" i="7"/>
  <c r="AR40" i="7"/>
  <c r="AS40" i="7"/>
  <c r="AT40" i="7"/>
  <c r="AU40" i="7"/>
  <c r="O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AR39" i="7"/>
  <c r="AS39" i="7"/>
  <c r="AT39" i="7"/>
  <c r="AU39" i="7"/>
  <c r="O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AM38" i="7"/>
  <c r="AN38" i="7"/>
  <c r="AO38" i="7"/>
  <c r="AP38" i="7"/>
  <c r="AQ38" i="7"/>
  <c r="AR38" i="7"/>
  <c r="AS38" i="7"/>
  <c r="AT38" i="7"/>
  <c r="AU38" i="7"/>
  <c r="O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AG37" i="7"/>
  <c r="AH37" i="7"/>
  <c r="AI37" i="7"/>
  <c r="AJ37" i="7"/>
  <c r="AK37" i="7"/>
  <c r="AL37" i="7"/>
  <c r="AM37" i="7"/>
  <c r="AN37" i="7"/>
  <c r="AO37" i="7"/>
  <c r="AP37" i="7"/>
  <c r="AQ37" i="7"/>
  <c r="AR37" i="7"/>
  <c r="AS37" i="7"/>
  <c r="AT37" i="7"/>
  <c r="AU37" i="7"/>
  <c r="O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AM36" i="7"/>
  <c r="AN36" i="7"/>
  <c r="AO36" i="7"/>
  <c r="AP36" i="7"/>
  <c r="AQ36" i="7"/>
  <c r="AR36" i="7"/>
  <c r="AS36" i="7"/>
  <c r="AT36" i="7"/>
  <c r="AU36" i="7"/>
  <c r="O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AM35" i="7"/>
  <c r="AN35" i="7"/>
  <c r="AO35" i="7"/>
  <c r="AP35" i="7"/>
  <c r="AQ35" i="7"/>
  <c r="AR35" i="7"/>
  <c r="AS35" i="7"/>
  <c r="AT35" i="7"/>
  <c r="AU35" i="7"/>
  <c r="B34" i="7"/>
  <c r="O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O33" i="7"/>
  <c r="R33" i="7"/>
  <c r="S33" i="7"/>
  <c r="T33" i="7"/>
  <c r="U33" i="7"/>
  <c r="V33" i="7"/>
  <c r="W33" i="7"/>
  <c r="X33" i="7"/>
  <c r="Y33" i="7"/>
  <c r="Z33" i="7"/>
  <c r="AA33" i="7"/>
  <c r="AB33" i="7"/>
  <c r="AC33" i="7"/>
  <c r="AD33" i="7"/>
  <c r="AE33" i="7"/>
  <c r="AF33" i="7"/>
  <c r="AG33" i="7"/>
  <c r="AH33" i="7"/>
  <c r="AI33" i="7"/>
  <c r="AJ33" i="7"/>
  <c r="AK33" i="7"/>
  <c r="AL33" i="7"/>
  <c r="AM33" i="7"/>
  <c r="AN33" i="7"/>
  <c r="AO33" i="7"/>
  <c r="AP33" i="7"/>
  <c r="AQ33" i="7"/>
  <c r="AR33" i="7"/>
  <c r="AS33" i="7"/>
  <c r="AT33" i="7"/>
  <c r="AU33" i="7"/>
  <c r="O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O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AF31" i="7"/>
  <c r="AG31" i="7"/>
  <c r="AH31" i="7"/>
  <c r="AI31" i="7"/>
  <c r="AJ31" i="7"/>
  <c r="AK31" i="7"/>
  <c r="AL31" i="7"/>
  <c r="AM31" i="7"/>
  <c r="AN31" i="7"/>
  <c r="AO31" i="7"/>
  <c r="AP31" i="7"/>
  <c r="AQ31" i="7"/>
  <c r="AR31" i="7"/>
  <c r="AS31" i="7"/>
  <c r="AT31" i="7"/>
  <c r="AU31" i="7"/>
  <c r="O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AI30" i="7"/>
  <c r="AJ30" i="7"/>
  <c r="AK30" i="7"/>
  <c r="AL30" i="7"/>
  <c r="AM30" i="7"/>
  <c r="AN30" i="7"/>
  <c r="AO30" i="7"/>
  <c r="AP30" i="7"/>
  <c r="AQ30" i="7"/>
  <c r="AR30" i="7"/>
  <c r="AS30" i="7"/>
  <c r="AT30" i="7"/>
  <c r="AU30" i="7"/>
  <c r="O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AG29" i="7"/>
  <c r="AH29" i="7"/>
  <c r="AI29" i="7"/>
  <c r="AJ29" i="7"/>
  <c r="AK29" i="7"/>
  <c r="AL29" i="7"/>
  <c r="AM29" i="7"/>
  <c r="AN29" i="7"/>
  <c r="AO29" i="7"/>
  <c r="AP29" i="7"/>
  <c r="AQ29" i="7"/>
  <c r="AR29" i="7"/>
  <c r="AS29" i="7"/>
  <c r="AT29" i="7"/>
  <c r="AU29" i="7"/>
  <c r="O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O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AR27" i="7"/>
  <c r="AS27" i="7"/>
  <c r="AT27" i="7"/>
  <c r="AU27" i="7"/>
  <c r="O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O25" i="7"/>
  <c r="R25" i="7"/>
  <c r="S25" i="7"/>
  <c r="T25" i="7"/>
  <c r="U25" i="7"/>
  <c r="V25" i="7"/>
  <c r="W25" i="7"/>
  <c r="X25" i="7"/>
  <c r="Y25" i="7"/>
  <c r="Z25" i="7"/>
  <c r="AA25" i="7"/>
  <c r="AB25" i="7"/>
  <c r="AC25" i="7"/>
  <c r="AD25" i="7"/>
  <c r="AE25" i="7"/>
  <c r="AF25" i="7"/>
  <c r="AG25" i="7"/>
  <c r="AH25" i="7"/>
  <c r="AI25" i="7"/>
  <c r="AJ25" i="7"/>
  <c r="AK25" i="7"/>
  <c r="AL25" i="7"/>
  <c r="AM25" i="7"/>
  <c r="AN25" i="7"/>
  <c r="AO25" i="7"/>
  <c r="AP25" i="7"/>
  <c r="AQ25" i="7"/>
  <c r="AR25" i="7"/>
  <c r="AS25" i="7"/>
  <c r="AT25" i="7"/>
  <c r="AU25" i="7"/>
  <c r="O24" i="7"/>
  <c r="R24" i="7"/>
  <c r="S24" i="7"/>
  <c r="S68" i="7" s="1"/>
  <c r="R6" i="8" s="1"/>
  <c r="T24" i="7"/>
  <c r="T68" i="7" s="1"/>
  <c r="S6" i="8" s="1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M68" i="7" s="1"/>
  <c r="AL6" i="8" s="1"/>
  <c r="AN24" i="7"/>
  <c r="AN68" i="7" s="1"/>
  <c r="AM6" i="8" s="1"/>
  <c r="AO24" i="7"/>
  <c r="AP24" i="7"/>
  <c r="AQ24" i="7"/>
  <c r="AR24" i="7"/>
  <c r="AS24" i="7"/>
  <c r="AT24" i="7"/>
  <c r="AU24" i="7"/>
  <c r="O23" i="7"/>
  <c r="R23" i="7"/>
  <c r="S23" i="7"/>
  <c r="T23" i="7"/>
  <c r="U23" i="7"/>
  <c r="V23" i="7"/>
  <c r="W23" i="7"/>
  <c r="X23" i="7"/>
  <c r="Y23" i="7"/>
  <c r="Z23" i="7"/>
  <c r="AA23" i="7"/>
  <c r="AB23" i="7"/>
  <c r="AB68" i="7" s="1"/>
  <c r="AA6" i="8" s="1"/>
  <c r="AC23" i="7"/>
  <c r="AC68" i="7" s="1"/>
  <c r="AB6" i="8" s="1"/>
  <c r="AD23" i="7"/>
  <c r="AE23" i="7"/>
  <c r="AF23" i="7"/>
  <c r="AG23" i="7"/>
  <c r="AH23" i="7"/>
  <c r="AI23" i="7"/>
  <c r="AJ23" i="7"/>
  <c r="AK23" i="7"/>
  <c r="AL23" i="7"/>
  <c r="AM23" i="7"/>
  <c r="AN23" i="7"/>
  <c r="AO23" i="7"/>
  <c r="AP23" i="7"/>
  <c r="AQ23" i="7"/>
  <c r="AR23" i="7"/>
  <c r="AS23" i="7"/>
  <c r="AT23" i="7"/>
  <c r="AU23" i="7"/>
  <c r="O22" i="7"/>
  <c r="R22" i="7"/>
  <c r="R68" i="7" s="1"/>
  <c r="Q6" i="8" s="1"/>
  <c r="S22" i="7"/>
  <c r="T22" i="7"/>
  <c r="U22" i="7"/>
  <c r="U68" i="7" s="1"/>
  <c r="T6" i="8" s="1"/>
  <c r="V22" i="7"/>
  <c r="V68" i="7" s="1"/>
  <c r="U6" i="8" s="1"/>
  <c r="W22" i="7"/>
  <c r="W68" i="7" s="1"/>
  <c r="V6" i="8" s="1"/>
  <c r="X22" i="7"/>
  <c r="X68" i="7" s="1"/>
  <c r="W6" i="8" s="1"/>
  <c r="Y22" i="7"/>
  <c r="Y68" i="7" s="1"/>
  <c r="X6" i="8" s="1"/>
  <c r="Z22" i="7"/>
  <c r="Z68" i="7" s="1"/>
  <c r="Y6" i="8" s="1"/>
  <c r="AA22" i="7"/>
  <c r="AA68" i="7" s="1"/>
  <c r="Z6" i="8" s="1"/>
  <c r="AB22" i="7"/>
  <c r="AC22" i="7"/>
  <c r="AD22" i="7"/>
  <c r="AD68" i="7" s="1"/>
  <c r="AC6" i="8" s="1"/>
  <c r="AE22" i="7"/>
  <c r="AE68" i="7" s="1"/>
  <c r="AD6" i="8" s="1"/>
  <c r="AF22" i="7"/>
  <c r="AF68" i="7" s="1"/>
  <c r="AE6" i="8" s="1"/>
  <c r="AG22" i="7"/>
  <c r="AG68" i="7" s="1"/>
  <c r="AF6" i="8" s="1"/>
  <c r="AH22" i="7"/>
  <c r="AH68" i="7" s="1"/>
  <c r="AG6" i="8" s="1"/>
  <c r="AI22" i="7"/>
  <c r="AI68" i="7" s="1"/>
  <c r="AH6" i="8" s="1"/>
  <c r="AJ22" i="7"/>
  <c r="AJ68" i="7" s="1"/>
  <c r="AI6" i="8" s="1"/>
  <c r="AK22" i="7"/>
  <c r="AK68" i="7" s="1"/>
  <c r="AJ6" i="8" s="1"/>
  <c r="AL22" i="7"/>
  <c r="AL68" i="7" s="1"/>
  <c r="AK6" i="8" s="1"/>
  <c r="AM22" i="7"/>
  <c r="AN22" i="7"/>
  <c r="AO22" i="7"/>
  <c r="AO68" i="7" s="1"/>
  <c r="AN6" i="8" s="1"/>
  <c r="AP22" i="7"/>
  <c r="AP68" i="7" s="1"/>
  <c r="AO6" i="8" s="1"/>
  <c r="AQ22" i="7"/>
  <c r="AQ68" i="7" s="1"/>
  <c r="AP6" i="8" s="1"/>
  <c r="AR22" i="7"/>
  <c r="AR68" i="7" s="1"/>
  <c r="AQ6" i="8" s="1"/>
  <c r="AS22" i="7"/>
  <c r="AS68" i="7" s="1"/>
  <c r="AR6" i="8" s="1"/>
  <c r="AT22" i="7"/>
  <c r="AT68" i="7" s="1"/>
  <c r="AS6" i="8" s="1"/>
  <c r="AU22" i="7"/>
  <c r="AU68" i="7" s="1"/>
  <c r="AT6" i="8" s="1"/>
  <c r="F20" i="7"/>
  <c r="L20" i="7" s="1"/>
  <c r="H20" i="7"/>
  <c r="F5" i="8" s="1"/>
  <c r="G5" i="8" s="1"/>
  <c r="J20" i="7"/>
  <c r="H5" i="8" s="1"/>
  <c r="I5" i="8" s="1"/>
  <c r="R20" i="7"/>
  <c r="Q5" i="8" s="1"/>
  <c r="AG20" i="7"/>
  <c r="AF5" i="8" s="1"/>
  <c r="AH20" i="7"/>
  <c r="AG5" i="8" s="1"/>
  <c r="AL20" i="7"/>
  <c r="AK5" i="8" s="1"/>
  <c r="AV20" i="7"/>
  <c r="AW20" i="7"/>
  <c r="AX20" i="7"/>
  <c r="AY20" i="7"/>
  <c r="O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AL9" i="7"/>
  <c r="AM9" i="7"/>
  <c r="AN9" i="7"/>
  <c r="AO9" i="7"/>
  <c r="AP9" i="7"/>
  <c r="AQ9" i="7"/>
  <c r="AR9" i="7"/>
  <c r="AS9" i="7"/>
  <c r="AT9" i="7"/>
  <c r="AU9" i="7"/>
  <c r="O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E20" i="7" s="1"/>
  <c r="AD5" i="8" s="1"/>
  <c r="AF8" i="7"/>
  <c r="AF20" i="7" s="1"/>
  <c r="AE5" i="8" s="1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AU8" i="7"/>
  <c r="O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I20" i="7" s="1"/>
  <c r="AH5" i="8" s="1"/>
  <c r="AJ7" i="7"/>
  <c r="AJ20" i="7" s="1"/>
  <c r="AI5" i="8" s="1"/>
  <c r="AK7" i="7"/>
  <c r="AK20" i="7" s="1"/>
  <c r="AJ5" i="8" s="1"/>
  <c r="AL7" i="7"/>
  <c r="AM7" i="7"/>
  <c r="AN7" i="7"/>
  <c r="AO7" i="7"/>
  <c r="AP7" i="7"/>
  <c r="AQ7" i="7"/>
  <c r="AR7" i="7"/>
  <c r="AS7" i="7"/>
  <c r="AT7" i="7"/>
  <c r="AU7" i="7"/>
  <c r="R6" i="7"/>
  <c r="O6" i="7"/>
  <c r="S6" i="7"/>
  <c r="S20" i="7" s="1"/>
  <c r="R5" i="8" s="1"/>
  <c r="T6" i="7"/>
  <c r="T20" i="7" s="1"/>
  <c r="S5" i="8" s="1"/>
  <c r="U6" i="7"/>
  <c r="U20" i="7" s="1"/>
  <c r="T5" i="8" s="1"/>
  <c r="V6" i="7"/>
  <c r="V20" i="7" s="1"/>
  <c r="U5" i="8" s="1"/>
  <c r="W6" i="7"/>
  <c r="W20" i="7" s="1"/>
  <c r="V5" i="8" s="1"/>
  <c r="X6" i="7"/>
  <c r="X20" i="7" s="1"/>
  <c r="W5" i="8" s="1"/>
  <c r="Y6" i="7"/>
  <c r="Y20" i="7" s="1"/>
  <c r="X5" i="8" s="1"/>
  <c r="Z6" i="7"/>
  <c r="Z20" i="7" s="1"/>
  <c r="Y5" i="8" s="1"/>
  <c r="AA6" i="7"/>
  <c r="AA20" i="7" s="1"/>
  <c r="Z5" i="8" s="1"/>
  <c r="AB6" i="7"/>
  <c r="AB20" i="7" s="1"/>
  <c r="AA5" i="8" s="1"/>
  <c r="AC6" i="7"/>
  <c r="AC20" i="7" s="1"/>
  <c r="AB5" i="8" s="1"/>
  <c r="AD6" i="7"/>
  <c r="AD20" i="7" s="1"/>
  <c r="AC5" i="8" s="1"/>
  <c r="AE6" i="7"/>
  <c r="AF6" i="7"/>
  <c r="AG6" i="7"/>
  <c r="AH6" i="7"/>
  <c r="AI6" i="7"/>
  <c r="AJ6" i="7"/>
  <c r="AK6" i="7"/>
  <c r="AL6" i="7"/>
  <c r="AM6" i="7"/>
  <c r="AM20" i="7" s="1"/>
  <c r="AL5" i="8" s="1"/>
  <c r="AN6" i="7"/>
  <c r="AN20" i="7" s="1"/>
  <c r="AM5" i="8" s="1"/>
  <c r="AO6" i="7"/>
  <c r="AO20" i="7" s="1"/>
  <c r="AN5" i="8" s="1"/>
  <c r="AP6" i="7"/>
  <c r="AP20" i="7" s="1"/>
  <c r="AO5" i="8" s="1"/>
  <c r="AQ6" i="7"/>
  <c r="AQ20" i="7" s="1"/>
  <c r="AP5" i="8" s="1"/>
  <c r="AR6" i="7"/>
  <c r="AR20" i="7" s="1"/>
  <c r="AQ5" i="8" s="1"/>
  <c r="AS6" i="7"/>
  <c r="AS20" i="7" s="1"/>
  <c r="AR5" i="8" s="1"/>
  <c r="AT6" i="7"/>
  <c r="AT20" i="7" s="1"/>
  <c r="AS5" i="8" s="1"/>
  <c r="AU6" i="7"/>
  <c r="AU20" i="7" s="1"/>
  <c r="AT5" i="8" s="1"/>
  <c r="F15" i="6"/>
  <c r="G15" i="6"/>
  <c r="H15" i="6"/>
  <c r="I15" i="6"/>
  <c r="J15" i="6"/>
  <c r="K15" i="6"/>
  <c r="L15" i="6"/>
  <c r="M15" i="6"/>
  <c r="F14" i="6"/>
  <c r="G14" i="6" s="1"/>
  <c r="M14" i="6" s="1"/>
  <c r="H14" i="6"/>
  <c r="I14" i="6"/>
  <c r="J14" i="6"/>
  <c r="K14" i="6"/>
  <c r="L14" i="6"/>
  <c r="F13" i="6"/>
  <c r="G13" i="6" s="1"/>
  <c r="M13" i="6" s="1"/>
  <c r="H13" i="6"/>
  <c r="I13" i="6"/>
  <c r="J13" i="6"/>
  <c r="K13" i="6"/>
  <c r="L13" i="6"/>
  <c r="F12" i="6"/>
  <c r="G12" i="6" s="1"/>
  <c r="M12" i="6" s="1"/>
  <c r="H12" i="6"/>
  <c r="I12" i="6"/>
  <c r="J12" i="6"/>
  <c r="K12" i="6"/>
  <c r="L12" i="6"/>
  <c r="F11" i="6"/>
  <c r="G11" i="6"/>
  <c r="H11" i="6"/>
  <c r="I11" i="6"/>
  <c r="J11" i="6"/>
  <c r="K11" i="6"/>
  <c r="L11" i="6"/>
  <c r="M11" i="6"/>
  <c r="F9" i="6"/>
  <c r="G9" i="6" s="1"/>
  <c r="M9" i="6" s="1"/>
  <c r="H9" i="6"/>
  <c r="I9" i="6" s="1"/>
  <c r="J9" i="6"/>
  <c r="K9" i="6"/>
  <c r="L9" i="6"/>
  <c r="F8" i="6"/>
  <c r="G8" i="6" s="1"/>
  <c r="M8" i="6" s="1"/>
  <c r="H8" i="6"/>
  <c r="I8" i="6" s="1"/>
  <c r="J8" i="6"/>
  <c r="K8" i="6"/>
  <c r="L8" i="6"/>
  <c r="F7" i="6"/>
  <c r="G7" i="6"/>
  <c r="H7" i="6"/>
  <c r="I7" i="6" s="1"/>
  <c r="M7" i="6" s="1"/>
  <c r="J7" i="6"/>
  <c r="K7" i="6"/>
  <c r="L7" i="6"/>
  <c r="F6" i="6"/>
  <c r="G6" i="6" s="1"/>
  <c r="M6" i="6" s="1"/>
  <c r="H6" i="6"/>
  <c r="I6" i="6"/>
  <c r="J6" i="6"/>
  <c r="K6" i="6"/>
  <c r="L6" i="6"/>
  <c r="F5" i="6"/>
  <c r="G5" i="6"/>
  <c r="H5" i="6"/>
  <c r="I5" i="6"/>
  <c r="J5" i="6"/>
  <c r="K5" i="6"/>
  <c r="L5" i="6"/>
  <c r="M5" i="6"/>
  <c r="F64" i="5"/>
  <c r="H64" i="5"/>
  <c r="J64" i="5"/>
  <c r="L64" i="5"/>
  <c r="F63" i="5"/>
  <c r="H63" i="5"/>
  <c r="I63" i="5"/>
  <c r="J63" i="5"/>
  <c r="K63" i="5"/>
  <c r="L63" i="5"/>
  <c r="F60" i="5"/>
  <c r="H60" i="5"/>
  <c r="J60" i="5"/>
  <c r="L60" i="5"/>
  <c r="B59" i="5"/>
  <c r="E59" i="5"/>
  <c r="F59" i="5" s="1"/>
  <c r="L59" i="5" s="1"/>
  <c r="F58" i="5"/>
  <c r="G58" i="5"/>
  <c r="H58" i="5" s="1"/>
  <c r="L58" i="5" s="1"/>
  <c r="J58" i="5"/>
  <c r="K58" i="5"/>
  <c r="F57" i="5"/>
  <c r="G57" i="5"/>
  <c r="H57" i="5" s="1"/>
  <c r="L57" i="5" s="1"/>
  <c r="J57" i="5"/>
  <c r="K57" i="5"/>
  <c r="F54" i="5"/>
  <c r="L54" i="5" s="1"/>
  <c r="H54" i="5"/>
  <c r="J54" i="5"/>
  <c r="B53" i="5"/>
  <c r="E53" i="5"/>
  <c r="F53" i="5" s="1"/>
  <c r="L53" i="5" s="1"/>
  <c r="F52" i="5"/>
  <c r="G52" i="5"/>
  <c r="H52" i="5" s="1"/>
  <c r="L52" i="5" s="1"/>
  <c r="J52" i="5"/>
  <c r="K52" i="5"/>
  <c r="F51" i="5"/>
  <c r="G51" i="5"/>
  <c r="H51" i="5" s="1"/>
  <c r="L51" i="5" s="1"/>
  <c r="J51" i="5"/>
  <c r="K51" i="5"/>
  <c r="F48" i="5"/>
  <c r="L48" i="5" s="1"/>
  <c r="H48" i="5"/>
  <c r="J48" i="5"/>
  <c r="B47" i="5"/>
  <c r="E47" i="5"/>
  <c r="F47" i="5" s="1"/>
  <c r="L47" i="5" s="1"/>
  <c r="F46" i="5"/>
  <c r="G46" i="5"/>
  <c r="H46" i="5" s="1"/>
  <c r="L46" i="5" s="1"/>
  <c r="J46" i="5"/>
  <c r="K46" i="5"/>
  <c r="F45" i="5"/>
  <c r="G45" i="5"/>
  <c r="H45" i="5" s="1"/>
  <c r="L45" i="5" s="1"/>
  <c r="J45" i="5"/>
  <c r="K45" i="5"/>
  <c r="F42" i="5"/>
  <c r="L42" i="5" s="1"/>
  <c r="H42" i="5"/>
  <c r="J42" i="5"/>
  <c r="F41" i="5"/>
  <c r="G41" i="5"/>
  <c r="K41" i="5" s="1"/>
  <c r="J41" i="5"/>
  <c r="F40" i="5"/>
  <c r="G40" i="5"/>
  <c r="H40" i="5" s="1"/>
  <c r="L40" i="5" s="1"/>
  <c r="J40" i="5"/>
  <c r="K40" i="5"/>
  <c r="E36" i="5"/>
  <c r="F36" i="5" s="1"/>
  <c r="F37" i="5" s="1"/>
  <c r="G36" i="5"/>
  <c r="H36" i="5"/>
  <c r="H37" i="5" s="1"/>
  <c r="H10" i="6" s="1"/>
  <c r="I10" i="6" s="1"/>
  <c r="I36" i="5"/>
  <c r="K36" i="5" s="1"/>
  <c r="E35" i="5"/>
  <c r="F35" i="5" s="1"/>
  <c r="L35" i="5" s="1"/>
  <c r="H35" i="5"/>
  <c r="J35" i="5"/>
  <c r="K35" i="5"/>
  <c r="E34" i="5"/>
  <c r="F34" i="5" s="1"/>
  <c r="L34" i="5" s="1"/>
  <c r="H34" i="5"/>
  <c r="J34" i="5"/>
  <c r="K34" i="5"/>
  <c r="F31" i="5"/>
  <c r="H31" i="5"/>
  <c r="J31" i="5"/>
  <c r="L31" i="5"/>
  <c r="F30" i="5"/>
  <c r="G30" i="5"/>
  <c r="H30" i="5" s="1"/>
  <c r="L30" i="5" s="1"/>
  <c r="J30" i="5"/>
  <c r="K30" i="5"/>
  <c r="F27" i="5"/>
  <c r="H27" i="5"/>
  <c r="J27" i="5"/>
  <c r="L27" i="5"/>
  <c r="E26" i="5"/>
  <c r="F26" i="5" s="1"/>
  <c r="L26" i="5" s="1"/>
  <c r="H26" i="5"/>
  <c r="J26" i="5"/>
  <c r="E25" i="5"/>
  <c r="F25" i="5" s="1"/>
  <c r="L25" i="5" s="1"/>
  <c r="H25" i="5"/>
  <c r="J25" i="5"/>
  <c r="K25" i="5"/>
  <c r="E24" i="5"/>
  <c r="F24" i="5" s="1"/>
  <c r="L24" i="5" s="1"/>
  <c r="H24" i="5"/>
  <c r="J24" i="5"/>
  <c r="K24" i="5"/>
  <c r="F21" i="5"/>
  <c r="L21" i="5" s="1"/>
  <c r="H21" i="5"/>
  <c r="J21" i="5"/>
  <c r="B20" i="5"/>
  <c r="I20" i="5"/>
  <c r="J20" i="5" s="1"/>
  <c r="L20" i="5" s="1"/>
  <c r="F19" i="5"/>
  <c r="G19" i="5"/>
  <c r="H19" i="5"/>
  <c r="L19" i="5" s="1"/>
  <c r="J19" i="5"/>
  <c r="K19" i="5"/>
  <c r="F18" i="5"/>
  <c r="G18" i="5"/>
  <c r="H18" i="5" s="1"/>
  <c r="L18" i="5" s="1"/>
  <c r="J18" i="5"/>
  <c r="F15" i="5"/>
  <c r="L15" i="5" s="1"/>
  <c r="H15" i="5"/>
  <c r="J15" i="5"/>
  <c r="B14" i="5"/>
  <c r="I14" i="5"/>
  <c r="J14" i="5" s="1"/>
  <c r="L14" i="5" s="1"/>
  <c r="F13" i="5"/>
  <c r="G13" i="5"/>
  <c r="H13" i="5" s="1"/>
  <c r="L13" i="5" s="1"/>
  <c r="J13" i="5"/>
  <c r="F12" i="5"/>
  <c r="G12" i="5"/>
  <c r="H12" i="5" s="1"/>
  <c r="L12" i="5" s="1"/>
  <c r="J12" i="5"/>
  <c r="K12" i="5"/>
  <c r="F9" i="5"/>
  <c r="H9" i="5"/>
  <c r="J9" i="5"/>
  <c r="L9" i="5"/>
  <c r="B8" i="5"/>
  <c r="I8" i="5"/>
  <c r="J8" i="5" s="1"/>
  <c r="L8" i="5" s="1"/>
  <c r="F7" i="5"/>
  <c r="G7" i="5"/>
  <c r="H7" i="5" s="1"/>
  <c r="L7" i="5" s="1"/>
  <c r="J7" i="5"/>
  <c r="K7" i="5"/>
  <c r="F6" i="5"/>
  <c r="G6" i="5"/>
  <c r="H6" i="5" s="1"/>
  <c r="L6" i="5" s="1"/>
  <c r="J6" i="5"/>
  <c r="K6" i="5"/>
  <c r="F5" i="4"/>
  <c r="G5" i="4"/>
  <c r="H5" i="4"/>
  <c r="I5" i="4"/>
  <c r="J5" i="4"/>
  <c r="K5" i="4" s="1"/>
  <c r="M5" i="4" s="1"/>
  <c r="L5" i="4"/>
  <c r="F15" i="3"/>
  <c r="H15" i="3"/>
  <c r="J15" i="3"/>
  <c r="L15" i="3"/>
  <c r="F14" i="3"/>
  <c r="G14" i="3"/>
  <c r="H14" i="3" s="1"/>
  <c r="L14" i="3" s="1"/>
  <c r="J14" i="3"/>
  <c r="F13" i="3"/>
  <c r="H13" i="3"/>
  <c r="L13" i="3" s="1"/>
  <c r="J13" i="3"/>
  <c r="K13" i="3"/>
  <c r="B12" i="3"/>
  <c r="E12" i="3"/>
  <c r="F12" i="3" s="1"/>
  <c r="L12" i="3" s="1"/>
  <c r="E11" i="3"/>
  <c r="F11" i="3" s="1"/>
  <c r="L11" i="3" s="1"/>
  <c r="H11" i="3"/>
  <c r="J11" i="3"/>
  <c r="K11" i="3"/>
  <c r="F10" i="3"/>
  <c r="H10" i="3"/>
  <c r="J10" i="3"/>
  <c r="K10" i="3"/>
  <c r="L10" i="3"/>
  <c r="F9" i="3"/>
  <c r="H9" i="3"/>
  <c r="I9" i="3"/>
  <c r="J9" i="3" s="1"/>
  <c r="L9" i="3" s="1"/>
  <c r="F8" i="3"/>
  <c r="H8" i="3"/>
  <c r="J8" i="3"/>
  <c r="K8" i="3"/>
  <c r="L8" i="3"/>
  <c r="F7" i="3"/>
  <c r="L7" i="3" s="1"/>
  <c r="H7" i="3"/>
  <c r="J7" i="3"/>
  <c r="K7" i="3"/>
  <c r="F6" i="3"/>
  <c r="H6" i="3"/>
  <c r="J6" i="3"/>
  <c r="K6" i="3"/>
  <c r="L6" i="3"/>
  <c r="O37" i="2"/>
  <c r="O36" i="2"/>
  <c r="O35" i="2"/>
  <c r="O34" i="2"/>
  <c r="O33" i="2"/>
  <c r="O32" i="2"/>
  <c r="O31" i="2"/>
  <c r="O30" i="2"/>
  <c r="O28" i="2"/>
  <c r="O27" i="2"/>
  <c r="O26" i="2"/>
  <c r="O25" i="2"/>
  <c r="O24" i="2"/>
  <c r="O23" i="2"/>
  <c r="O22" i="2"/>
  <c r="O21" i="2"/>
  <c r="O20" i="2"/>
  <c r="O19" i="2"/>
  <c r="O18" i="2"/>
  <c r="O17" i="2"/>
  <c r="O16" i="2"/>
  <c r="O15" i="2"/>
  <c r="O14" i="2"/>
  <c r="O13" i="2"/>
  <c r="O12" i="2"/>
  <c r="O11" i="2"/>
  <c r="O10" i="2"/>
  <c r="O9" i="2"/>
  <c r="O8" i="2"/>
  <c r="O7" i="2"/>
  <c r="O6" i="2"/>
  <c r="O5" i="2"/>
  <c r="K8" i="8" l="1"/>
  <c r="J8" i="8"/>
  <c r="K7" i="8"/>
  <c r="J7" i="8"/>
  <c r="U20" i="8"/>
  <c r="AM20" i="8"/>
  <c r="L68" i="7"/>
  <c r="AF20" i="8"/>
  <c r="E27" i="9" s="1"/>
  <c r="I27" i="9" s="1"/>
  <c r="Q20" i="8"/>
  <c r="D6" i="8"/>
  <c r="I20" i="8"/>
  <c r="E12" i="9" s="1"/>
  <c r="I12" i="9" s="1"/>
  <c r="G20" i="8"/>
  <c r="E9" i="9" s="1"/>
  <c r="I9" i="9" s="1"/>
  <c r="T20" i="8"/>
  <c r="R20" i="8"/>
  <c r="AC20" i="8"/>
  <c r="AA20" i="8"/>
  <c r="Y20" i="8"/>
  <c r="AP20" i="8"/>
  <c r="V20" i="8"/>
  <c r="AO20" i="8"/>
  <c r="AG20" i="8"/>
  <c r="AT20" i="8"/>
  <c r="AS20" i="8"/>
  <c r="AR20" i="8"/>
  <c r="X20" i="8"/>
  <c r="AI20" i="8"/>
  <c r="AN20" i="8"/>
  <c r="S20" i="8"/>
  <c r="E7" i="9" s="1"/>
  <c r="I7" i="9" s="1"/>
  <c r="AL20" i="8"/>
  <c r="AK20" i="8"/>
  <c r="AE20" i="8"/>
  <c r="AB20" i="8"/>
  <c r="AD20" i="8"/>
  <c r="Z20" i="8"/>
  <c r="AJ20" i="8"/>
  <c r="AQ20" i="8"/>
  <c r="W20" i="8"/>
  <c r="AH20" i="8"/>
  <c r="D5" i="8"/>
  <c r="F10" i="6"/>
  <c r="K59" i="5"/>
  <c r="K53" i="5"/>
  <c r="K47" i="5"/>
  <c r="H41" i="5"/>
  <c r="L41" i="5" s="1"/>
  <c r="J36" i="5"/>
  <c r="K26" i="5"/>
  <c r="K20" i="5"/>
  <c r="K18" i="5"/>
  <c r="K14" i="5"/>
  <c r="K13" i="5"/>
  <c r="K8" i="5"/>
  <c r="K14" i="3"/>
  <c r="K12" i="3"/>
  <c r="K9" i="3"/>
  <c r="E10" i="9" l="1"/>
  <c r="I10" i="9" s="1"/>
  <c r="E15" i="9"/>
  <c r="E16" i="9"/>
  <c r="I16" i="9" s="1"/>
  <c r="J6" i="8"/>
  <c r="E6" i="8"/>
  <c r="K6" i="8" s="1"/>
  <c r="E5" i="8"/>
  <c r="J5" i="8"/>
  <c r="L36" i="5"/>
  <c r="J37" i="5"/>
  <c r="G10" i="6"/>
  <c r="E11" i="9" l="1"/>
  <c r="I15" i="9"/>
  <c r="E17" i="9"/>
  <c r="I17" i="9" s="1"/>
  <c r="E22" i="9"/>
  <c r="I22" i="9" s="1"/>
  <c r="E21" i="9"/>
  <c r="I21" i="9" s="1"/>
  <c r="E20" i="8"/>
  <c r="K5" i="8"/>
  <c r="I11" i="9"/>
  <c r="E14" i="9"/>
  <c r="I14" i="9" s="1"/>
  <c r="E13" i="9"/>
  <c r="J10" i="6"/>
  <c r="L37" i="5"/>
  <c r="E5" i="9" l="1"/>
  <c r="K20" i="8"/>
  <c r="I13" i="9"/>
  <c r="K10" i="6"/>
  <c r="M10" i="6" s="1"/>
  <c r="L10" i="6"/>
  <c r="I5" i="9" l="1"/>
  <c r="E6" i="9"/>
  <c r="I6" i="9" s="1"/>
  <c r="E8" i="9" l="1"/>
  <c r="E18" i="9" l="1"/>
  <c r="I8" i="9"/>
  <c r="E20" i="9"/>
  <c r="I20" i="9" s="1"/>
  <c r="E19" i="9"/>
  <c r="I19" i="9" s="1"/>
  <c r="I18" i="9" l="1"/>
  <c r="E23" i="9"/>
  <c r="I23" i="9" l="1"/>
  <c r="E25" i="9"/>
  <c r="I25" i="9" s="1"/>
  <c r="E24" i="9"/>
  <c r="I24" i="9" s="1"/>
  <c r="E26" i="9" l="1"/>
  <c r="E28" i="9" s="1"/>
  <c r="I26" i="9"/>
  <c r="I28" i="9" s="1"/>
  <c r="I29" i="9" s="1"/>
  <c r="I30" i="9" s="1"/>
  <c r="I31" i="9" l="1"/>
  <c r="E30" i="9"/>
  <c r="E29" i="9" l="1"/>
  <c r="E31" i="9"/>
</calcChain>
</file>

<file path=xl/sharedStrings.xml><?xml version="1.0" encoding="utf-8"?>
<sst xmlns="http://schemas.openxmlformats.org/spreadsheetml/2006/main" count="988" uniqueCount="340">
  <si>
    <t>단 가 대 비 표</t>
  </si>
  <si>
    <t>품     명</t>
  </si>
  <si>
    <t>규     격</t>
  </si>
  <si>
    <t>단위</t>
  </si>
  <si>
    <t>물가자료</t>
  </si>
  <si>
    <t>물가정보</t>
  </si>
  <si>
    <t>가격정보</t>
  </si>
  <si>
    <t>거래가격</t>
  </si>
  <si>
    <t>유통물가</t>
  </si>
  <si>
    <t>상반기</t>
  </si>
  <si>
    <t>조사단가</t>
  </si>
  <si>
    <t>적용단가</t>
  </si>
  <si>
    <t>비 고</t>
  </si>
  <si>
    <t>단가</t>
  </si>
  <si>
    <t>Page</t>
  </si>
  <si>
    <t>구분</t>
  </si>
  <si>
    <t>경유</t>
  </si>
  <si>
    <t>경유, 저유황</t>
  </si>
  <si>
    <t>L</t>
  </si>
  <si>
    <t>하권32</t>
  </si>
  <si>
    <t>1451</t>
  </si>
  <si>
    <t>1189</t>
  </si>
  <si>
    <t>공조용플렉시블덕트</t>
  </si>
  <si>
    <t>공조덕트, 플렉시블덕트호스, AL비보온, Φ125mm</t>
  </si>
  <si>
    <t>m</t>
  </si>
  <si>
    <t>975(2603)</t>
  </si>
  <si>
    <t>984</t>
  </si>
  <si>
    <t>공조덕트, 플렉시블덕트호스, AL비보온, Φ175mm</t>
  </si>
  <si>
    <t>공조덕트, 플렉시블덕트호스, AL비보온, Φ200mm</t>
  </si>
  <si>
    <t>공조덕트, 플렉시블덕트호스, AL비보온, Φ250mm</t>
  </si>
  <si>
    <t>육각너트</t>
  </si>
  <si>
    <t>육각너트, M10</t>
  </si>
  <si>
    <t>개</t>
  </si>
  <si>
    <t>51</t>
  </si>
  <si>
    <t>96</t>
  </si>
  <si>
    <t>56</t>
  </si>
  <si>
    <t>철</t>
  </si>
  <si>
    <t>일반용경질폴리염화비닐관</t>
  </si>
  <si>
    <t>일반용경질폴리염화비닐관, Φ125mm, VG1</t>
  </si>
  <si>
    <t>754</t>
  </si>
  <si>
    <t>720</t>
  </si>
  <si>
    <t>793</t>
  </si>
  <si>
    <t>554</t>
  </si>
  <si>
    <t>VN SDR 17</t>
  </si>
  <si>
    <t>일반용경질폴리염화비닐관, Φ150mm, VG1</t>
  </si>
  <si>
    <t>일반용경질폴리염화비닐관, Φ250mm, VG1</t>
  </si>
  <si>
    <t>일반용경질폴리염화비닐관, Φ300mm, VG1</t>
  </si>
  <si>
    <t>조립식배관가대</t>
  </si>
  <si>
    <t>조립식찬넬(분체도장), SCP-3840　</t>
  </si>
  <si>
    <t>111</t>
  </si>
  <si>
    <t>조립식배관가대 지지금구</t>
  </si>
  <si>
    <t>제진클램프, 강, STS, D250</t>
  </si>
  <si>
    <t>초산비닐계접착제</t>
  </si>
  <si>
    <t>초산비닐계접착제, 스치로폴, 암면</t>
  </si>
  <si>
    <t>kg</t>
  </si>
  <si>
    <t>60</t>
  </si>
  <si>
    <t>64</t>
  </si>
  <si>
    <t>페놀폼단열재(PF보드)</t>
  </si>
  <si>
    <t>50mm</t>
  </si>
  <si>
    <t>M2</t>
  </si>
  <si>
    <t>658</t>
  </si>
  <si>
    <t>702</t>
  </si>
  <si>
    <t>397</t>
  </si>
  <si>
    <t>준불연(1면)내화성능</t>
  </si>
  <si>
    <t>친환경, THK 100mm, 1000×2000</t>
  </si>
  <si>
    <t>701</t>
  </si>
  <si>
    <t>399</t>
  </si>
  <si>
    <t>준불연, 1200×2000</t>
  </si>
  <si>
    <t>평와셔</t>
  </si>
  <si>
    <t>평와셔, 호칭경10mm</t>
  </si>
  <si>
    <t>48</t>
  </si>
  <si>
    <t>43</t>
  </si>
  <si>
    <t>93</t>
  </si>
  <si>
    <t>스틸</t>
  </si>
  <si>
    <t>후드캡</t>
  </si>
  <si>
    <t>방풍형 D120</t>
  </si>
  <si>
    <t>EA</t>
  </si>
  <si>
    <t>968(2604)</t>
  </si>
  <si>
    <t>방풍형 D150</t>
  </si>
  <si>
    <t>방풍형 D200</t>
  </si>
  <si>
    <t>방풍형 D250</t>
  </si>
  <si>
    <t>STS, ND150</t>
  </si>
  <si>
    <t>STS, ND200</t>
  </si>
  <si>
    <t>STS, ND250</t>
  </si>
  <si>
    <t>U볼트</t>
  </si>
  <si>
    <t>U볼트, 절연, Φ300mm</t>
  </si>
  <si>
    <t>44</t>
  </si>
  <si>
    <t>92</t>
  </si>
  <si>
    <t>50</t>
  </si>
  <si>
    <t>3/8"</t>
  </si>
  <si>
    <t>내장공</t>
  </si>
  <si>
    <t>일반공사 직종</t>
  </si>
  <si>
    <t>인</t>
  </si>
  <si>
    <t>덕트공</t>
  </si>
  <si>
    <t>2010년직종통합(함석공)</t>
  </si>
  <si>
    <t>배관공</t>
  </si>
  <si>
    <t>보통인부</t>
  </si>
  <si>
    <t>착암공</t>
  </si>
  <si>
    <t>코킹공</t>
  </si>
  <si>
    <t>기타 직종</t>
  </si>
  <si>
    <t>화물차운전사</t>
  </si>
  <si>
    <t>운전사(운반차)</t>
  </si>
  <si>
    <t>고소작업차</t>
  </si>
  <si>
    <t>5 ton</t>
  </si>
  <si>
    <t>대</t>
  </si>
  <si>
    <t>공통8-5-3(2106)</t>
  </si>
  <si>
    <t>폐자재처리수수료</t>
  </si>
  <si>
    <t>혼합폐기물</t>
  </si>
  <si>
    <t>톤</t>
  </si>
  <si>
    <t>하권151</t>
  </si>
  <si>
    <t>부록412</t>
  </si>
  <si>
    <t>1585</t>
  </si>
  <si>
    <t>1433</t>
  </si>
  <si>
    <t>부가세별도</t>
  </si>
  <si>
    <t>중 기 경 비 내 역 서</t>
  </si>
  <si>
    <t>품          명</t>
  </si>
  <si>
    <t>규          격</t>
  </si>
  <si>
    <t>수  량</t>
  </si>
  <si>
    <t>재   료   비</t>
  </si>
  <si>
    <t>노   무   비</t>
  </si>
  <si>
    <t>경        비</t>
  </si>
  <si>
    <t>합        계</t>
  </si>
  <si>
    <t>비  고</t>
  </si>
  <si>
    <t>단  가</t>
  </si>
  <si>
    <t>금   액</t>
  </si>
  <si>
    <t>손료요율</t>
  </si>
  <si>
    <t>손료구분</t>
  </si>
  <si>
    <t>적용구분</t>
  </si>
  <si>
    <t>합계구분</t>
  </si>
  <si>
    <t>품목구분</t>
  </si>
  <si>
    <t>조달코드</t>
  </si>
  <si>
    <t>[중기  4호] - [고소작업차  5ton  HR]</t>
  </si>
  <si>
    <t>공통8-4-3,8-3-3(2106)</t>
  </si>
  <si>
    <t>[경  비]</t>
  </si>
  <si>
    <t/>
  </si>
  <si>
    <t>소  계</t>
  </si>
  <si>
    <t>03</t>
  </si>
  <si>
    <t>기계경비</t>
  </si>
  <si>
    <t>[재료비]</t>
  </si>
  <si>
    <t>01</t>
  </si>
  <si>
    <t>잡품</t>
  </si>
  <si>
    <t>식</t>
  </si>
  <si>
    <t>재료비-&gt;재료비</t>
  </si>
  <si>
    <t>20</t>
  </si>
  <si>
    <t>A0100000000</t>
  </si>
  <si>
    <t>재료비</t>
  </si>
  <si>
    <t>[노무비]</t>
  </si>
  <si>
    <t>02</t>
  </si>
  <si>
    <t>합  계</t>
  </si>
  <si>
    <t>중 기 경 비 목 록</t>
  </si>
  <si>
    <t>호 표</t>
  </si>
  <si>
    <t>수량</t>
  </si>
  <si>
    <t>재 료 비</t>
  </si>
  <si>
    <t>노 무 비</t>
  </si>
  <si>
    <t>경    비</t>
  </si>
  <si>
    <t>합    계</t>
  </si>
  <si>
    <t>중기  4호</t>
  </si>
  <si>
    <t>5ton</t>
  </si>
  <si>
    <t>HR</t>
  </si>
  <si>
    <t>일 위 대 가 내 역 서</t>
  </si>
  <si>
    <t>품        명</t>
  </si>
  <si>
    <t>규        격</t>
  </si>
  <si>
    <t>재  료  비</t>
  </si>
  <si>
    <t>노  무  비</t>
  </si>
  <si>
    <t>경      비</t>
  </si>
  <si>
    <t>합      계</t>
  </si>
  <si>
    <t>[일위  1호] - [스파이럴덕트 해체  D250이하, t 0.6mm  m]</t>
  </si>
  <si>
    <t>유지4-1-2</t>
  </si>
  <si>
    <t>공구손료 및 경장비의 기계경비</t>
  </si>
  <si>
    <t>25</t>
  </si>
  <si>
    <t>A0200000000</t>
  </si>
  <si>
    <t>경비</t>
  </si>
  <si>
    <t>[일위  2호] - [스파이럴덕트 해체  D200이하, t 0.5mm  m]</t>
  </si>
  <si>
    <t>[일위  3호] - [PVC 덕트 해체  D250이하  m]</t>
  </si>
  <si>
    <t>[일위  5호] - [U볼트,너트(절연)  M300  개소]</t>
  </si>
  <si>
    <t>[일위  6호] - [수밀코킹  재료비 별도  M]</t>
  </si>
  <si>
    <t>건축6-6-1</t>
  </si>
  <si>
    <t>[일위  7호] - [페놀폼단열재(접착제붙이기, 벽)   PF보드 100mm  M2]</t>
  </si>
  <si>
    <t>건축5-4-2</t>
  </si>
  <si>
    <t>단열재 접착제 붙이기</t>
  </si>
  <si>
    <t>벽, 100mm이하</t>
  </si>
  <si>
    <t>일위  8호</t>
  </si>
  <si>
    <t>AOD11000060S</t>
  </si>
  <si>
    <t>[일위  8호] - [단열재 접착제 붙이기  벽, 100mm이하  M2]</t>
  </si>
  <si>
    <t>[일위  9호] - [구멍뚫기(코어드릴)  D300, 콘크리트 300㎜, 벽  개소]</t>
  </si>
  <si>
    <t>설비9-3-2</t>
  </si>
  <si>
    <t>공구손료</t>
  </si>
  <si>
    <t>23</t>
  </si>
  <si>
    <t>[일위 10호] - [구멍뚫기(코어드릴)  D250, 콘크리트 300㎜, 벽  개소]</t>
  </si>
  <si>
    <t>[일위 11호] - [구멍뚫기(코어드릴)  D200, 콘크리트 300㎜, 벽  개소]</t>
  </si>
  <si>
    <t>[일위 12호] - [건설폐기물처리비  혼합폐기물(소각 약 5%)  톤]</t>
  </si>
  <si>
    <t>일 위 대 가 목 록</t>
  </si>
  <si>
    <t>금    액</t>
  </si>
  <si>
    <t>일위  1호</t>
  </si>
  <si>
    <t>스파이럴덕트 해체</t>
  </si>
  <si>
    <t>D250이하, t 0.6mm</t>
  </si>
  <si>
    <t>일위  2호</t>
  </si>
  <si>
    <t>D200이하, t 0.5mm</t>
  </si>
  <si>
    <t>일위  3호</t>
  </si>
  <si>
    <t>PVC 덕트 해체</t>
  </si>
  <si>
    <t>D250이하</t>
  </si>
  <si>
    <t>일위  5호</t>
  </si>
  <si>
    <t>U볼트,너트(절연)</t>
  </si>
  <si>
    <t>M300</t>
  </si>
  <si>
    <t>개소</t>
  </si>
  <si>
    <t>일위  6호</t>
  </si>
  <si>
    <t>수밀코킹</t>
  </si>
  <si>
    <t>재료비 별도</t>
  </si>
  <si>
    <t>M</t>
  </si>
  <si>
    <t>AHF00000010S</t>
  </si>
  <si>
    <t>일위  7호</t>
  </si>
  <si>
    <t xml:space="preserve">페놀폼단열재(접착제붙이기, 벽) </t>
  </si>
  <si>
    <t>PF보드 100mm</t>
  </si>
  <si>
    <t>일위  9호</t>
  </si>
  <si>
    <t>구멍뚫기(코어드릴)</t>
  </si>
  <si>
    <t>D300, 콘크리트 300㎜, 벽</t>
  </si>
  <si>
    <t>일위 10호</t>
  </si>
  <si>
    <t>D250, 콘크리트 300㎜, 벽</t>
  </si>
  <si>
    <t>일위 11호</t>
  </si>
  <si>
    <t>D200, 콘크리트 300㎜, 벽</t>
  </si>
  <si>
    <t>일위 12호</t>
  </si>
  <si>
    <t>건설폐기물처리비</t>
  </si>
  <si>
    <t>혼합폐기물(소각 약 5%)</t>
  </si>
  <si>
    <t>공 사 내 역 서</t>
  </si>
  <si>
    <t>품      명</t>
  </si>
  <si>
    <t>규      격</t>
  </si>
  <si>
    <t>비고</t>
  </si>
  <si>
    <t>운반비</t>
  </si>
  <si>
    <t>작업부산물</t>
  </si>
  <si>
    <t>관급</t>
  </si>
  <si>
    <t>외주비</t>
  </si>
  <si>
    <t>장비비</t>
  </si>
  <si>
    <t>폐기물처리비</t>
  </si>
  <si>
    <t>가설비</t>
  </si>
  <si>
    <t>잡비제외분</t>
  </si>
  <si>
    <t>사급자재대</t>
  </si>
  <si>
    <t>관급자재대</t>
  </si>
  <si>
    <t>사용자항목1</t>
  </si>
  <si>
    <t>사용자항목2</t>
  </si>
  <si>
    <t>안전관리비</t>
  </si>
  <si>
    <t>품질관리비</t>
  </si>
  <si>
    <t>작업부산물(철거해체)</t>
  </si>
  <si>
    <t>사용자항목6</t>
  </si>
  <si>
    <t>사용자항목7</t>
  </si>
  <si>
    <t>사용자항목8</t>
  </si>
  <si>
    <t>사용자항목9</t>
  </si>
  <si>
    <t>사용자항목10</t>
  </si>
  <si>
    <t>사용자항목11</t>
  </si>
  <si>
    <t>사용자항목12</t>
  </si>
  <si>
    <t>사용자항목13</t>
  </si>
  <si>
    <t>사용자항목14</t>
  </si>
  <si>
    <t>사용자항목15</t>
  </si>
  <si>
    <t>사용자항목16</t>
  </si>
  <si>
    <t>사용자항목17</t>
  </si>
  <si>
    <t>사용자항목18</t>
  </si>
  <si>
    <t>사용자항목19</t>
  </si>
  <si>
    <t>간접재료비</t>
  </si>
  <si>
    <t>01. 01. 덕트배관 철거</t>
  </si>
  <si>
    <t>02. 02. 덕트배관 설치</t>
  </si>
  <si>
    <t>스파이럴덕트</t>
  </si>
  <si>
    <t>공조덕트, 스파이럴, Φ250mm</t>
  </si>
  <si>
    <t>공조덕트, 스파이럴, Φ200mm</t>
  </si>
  <si>
    <t>공조덕트, 스파이럴, Φ150mm</t>
  </si>
  <si>
    <t>공조덕트, 스파이럴, Φ125mm</t>
  </si>
  <si>
    <t>관부속품비</t>
  </si>
  <si>
    <t>A0400000000</t>
  </si>
  <si>
    <t>공조덕트, 스파이럴캡, Φ150mm</t>
  </si>
  <si>
    <t>공조덕트, 스파이럴캡, Φ200mm</t>
  </si>
  <si>
    <t>공조덕트, 스파이럴캡, Φ250mm</t>
  </si>
  <si>
    <t>공조덕트, 스파이럴캡, Φ300mm</t>
  </si>
  <si>
    <t>갈바마감/시공비 포함</t>
  </si>
  <si>
    <t>갈바1.2T/프로폰</t>
  </si>
  <si>
    <t>24</t>
  </si>
  <si>
    <t>03. 03. 구멍뚫기</t>
  </si>
  <si>
    <t>04. 04. 폐기물처리비</t>
  </si>
  <si>
    <t>공 사 집 계 표</t>
  </si>
  <si>
    <t>과장</t>
  </si>
  <si>
    <t>담당</t>
  </si>
  <si>
    <t>검산자</t>
  </si>
  <si>
    <t>설계자</t>
  </si>
  <si>
    <t>2026년 9월  설계</t>
  </si>
  <si>
    <t>공 사 원 가 계 산 서</t>
  </si>
  <si>
    <t xml:space="preserve">                     구  분
  비   목</t>
  </si>
  <si>
    <t>구    성   비</t>
  </si>
  <si>
    <t>금      액</t>
  </si>
  <si>
    <t>비    고</t>
  </si>
  <si>
    <t>직   접   재  료  비</t>
  </si>
  <si>
    <t>A1</t>
  </si>
  <si>
    <t>간   접   재  료  비</t>
  </si>
  <si>
    <t>A2</t>
  </si>
  <si>
    <t>작업설.부산물 등(△)</t>
  </si>
  <si>
    <t>A3</t>
  </si>
  <si>
    <t>소                계</t>
  </si>
  <si>
    <t>A</t>
  </si>
  <si>
    <t>직   접   노  무  비</t>
  </si>
  <si>
    <t>B1</t>
  </si>
  <si>
    <t>간   접   노  무  비</t>
  </si>
  <si>
    <t>B2</t>
  </si>
  <si>
    <t>B</t>
  </si>
  <si>
    <t>기    계    경    비</t>
  </si>
  <si>
    <t>C4</t>
  </si>
  <si>
    <t>산  재  보   험   료</t>
  </si>
  <si>
    <t>C10</t>
  </si>
  <si>
    <t>고  용  보   험   료</t>
  </si>
  <si>
    <t>C11</t>
  </si>
  <si>
    <t>건  강  보   험   료</t>
  </si>
  <si>
    <t>C12</t>
  </si>
  <si>
    <t>연  금  보   험   료</t>
  </si>
  <si>
    <t>C13</t>
  </si>
  <si>
    <t>노인 장기 요양보험료</t>
  </si>
  <si>
    <t>C14</t>
  </si>
  <si>
    <t>산업 안전 보건관리비</t>
  </si>
  <si>
    <t>1,310,118 &lt; 1,572,142</t>
  </si>
  <si>
    <t>C16</t>
  </si>
  <si>
    <t>기    타    경    비</t>
  </si>
  <si>
    <t>C20</t>
  </si>
  <si>
    <t>환  경  보   전   비</t>
  </si>
  <si>
    <t>C25</t>
  </si>
  <si>
    <t>C</t>
  </si>
  <si>
    <t xml:space="preserve">         계</t>
  </si>
  <si>
    <t>X</t>
  </si>
  <si>
    <t>일  반   관   리  비</t>
  </si>
  <si>
    <t>D</t>
  </si>
  <si>
    <t>이                윤</t>
  </si>
  <si>
    <t>E</t>
  </si>
  <si>
    <t>총       원       가</t>
  </si>
  <si>
    <t>F</t>
  </si>
  <si>
    <t>부   가   가  치  세</t>
  </si>
  <si>
    <t>H</t>
  </si>
  <si>
    <t>도    급    금    액</t>
  </si>
  <si>
    <t>Y</t>
  </si>
  <si>
    <t>총   공   사  금  액</t>
  </si>
  <si>
    <t>노무비</t>
  </si>
  <si>
    <t>경  비</t>
  </si>
  <si>
    <t>순  공  사  원  가</t>
  </si>
  <si>
    <t>석 면 분 담 금</t>
    <phoneticPr fontId="1" type="noConversion"/>
  </si>
  <si>
    <t>임 금 채 권 부 담 금</t>
    <phoneticPr fontId="1" type="noConversion"/>
  </si>
  <si>
    <t>C26</t>
    <phoneticPr fontId="1" type="noConversion"/>
  </si>
  <si>
    <t>C27</t>
    <phoneticPr fontId="1" type="noConversion"/>
  </si>
  <si>
    <t>공사명 : 공동실험실습관 외벽개선 환기배관 철거 및 설치 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</si>
</sst>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굴림체"/>
      <family val="3"/>
      <charset val="129"/>
    </font>
    <font>
      <b/>
      <u/>
      <sz val="9"/>
      <color rgb="FF0000FF"/>
      <name val="굴림체"/>
      <family val="3"/>
      <charset val="129"/>
    </font>
    <font>
      <b/>
      <u/>
      <sz val="9"/>
      <color rgb="FF0000FF"/>
      <name val="맑은 고딕"/>
      <family val="2"/>
      <charset val="129"/>
      <scheme val="minor"/>
    </font>
    <font>
      <sz val="7"/>
      <color rgb="FF000080"/>
      <name val="굴림체"/>
      <family val="3"/>
      <charset val="129"/>
    </font>
    <font>
      <sz val="7"/>
      <color theme="1"/>
      <name val="굴림체"/>
      <family val="3"/>
      <charset val="129"/>
    </font>
    <font>
      <sz val="8"/>
      <color rgb="FF000080"/>
      <name val="굴림체"/>
      <family val="3"/>
      <charset val="129"/>
    </font>
    <font>
      <b/>
      <sz val="8"/>
      <color rgb="FF0000FF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8"/>
      <color rgb="FF800000"/>
      <name val="굴림체"/>
      <family val="3"/>
      <charset val="129"/>
    </font>
    <font>
      <sz val="13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E4D6"/>
        <bgColor indexed="64"/>
      </patternFill>
    </fill>
    <fill>
      <patternFill patternType="solid">
        <fgColor rgb="FFFFFFE7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rgb="FFF4F4FD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left" vertical="center" shrinkToFit="1"/>
    </xf>
    <xf numFmtId="0" fontId="6" fillId="0" borderId="1" xfId="0" quotePrefix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right" vertical="center" shrinkToFit="1"/>
    </xf>
    <xf numFmtId="0" fontId="6" fillId="0" borderId="1" xfId="0" quotePrefix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center" vertical="center" shrinkToFit="1"/>
    </xf>
    <xf numFmtId="0" fontId="0" fillId="0" borderId="0" xfId="0" quotePrefix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4" borderId="1" xfId="0" quotePrefix="1" applyFont="1" applyFill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left" vertical="center" shrinkToFit="1"/>
    </xf>
    <xf numFmtId="0" fontId="9" fillId="0" borderId="1" xfId="0" applyFont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right" vertical="center" shrinkToFi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left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right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9" fillId="0" borderId="1" xfId="0" quotePrefix="1" applyFont="1" applyBorder="1" applyAlignment="1">
      <alignment horizontal="right" vertical="center" shrinkToFit="1"/>
    </xf>
    <xf numFmtId="0" fontId="12" fillId="0" borderId="1" xfId="0" quotePrefix="1" applyFont="1" applyBorder="1" applyAlignment="1">
      <alignment horizontal="center" vertical="center" textRotation="255"/>
    </xf>
    <xf numFmtId="0" fontId="12" fillId="0" borderId="1" xfId="0" applyFont="1" applyBorder="1">
      <alignment vertical="center"/>
    </xf>
    <xf numFmtId="0" fontId="12" fillId="0" borderId="1" xfId="0" quotePrefix="1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10" fillId="0" borderId="11" xfId="0" quotePrefix="1" applyFont="1" applyBorder="1" applyAlignment="1">
      <alignment horizontal="left" vertical="center" shrinkToFit="1"/>
    </xf>
    <xf numFmtId="0" fontId="10" fillId="0" borderId="11" xfId="0" applyFont="1" applyBorder="1" applyAlignment="1">
      <alignment horizontal="right" vertical="center" shrinkToFit="1"/>
    </xf>
    <xf numFmtId="0" fontId="10" fillId="0" borderId="12" xfId="0" quotePrefix="1" applyFont="1" applyBorder="1" applyAlignment="1">
      <alignment horizontal="left" vertical="center" shrinkToFit="1"/>
    </xf>
    <xf numFmtId="0" fontId="10" fillId="0" borderId="12" xfId="0" applyFont="1" applyBorder="1" applyAlignment="1">
      <alignment horizontal="right" vertical="center" shrinkToFit="1"/>
    </xf>
    <xf numFmtId="0" fontId="10" fillId="0" borderId="13" xfId="0" quotePrefix="1" applyFont="1" applyBorder="1" applyAlignment="1">
      <alignment horizontal="left" vertical="center" shrinkToFit="1"/>
    </xf>
    <xf numFmtId="0" fontId="10" fillId="0" borderId="13" xfId="0" applyFont="1" applyBorder="1" applyAlignment="1">
      <alignment horizontal="right" vertical="center" shrinkToFit="1"/>
    </xf>
    <xf numFmtId="0" fontId="10" fillId="2" borderId="1" xfId="0" quotePrefix="1" applyFont="1" applyFill="1" applyBorder="1" applyAlignment="1">
      <alignment horizontal="left" vertical="center" shrinkToFit="1"/>
    </xf>
    <xf numFmtId="0" fontId="10" fillId="0" borderId="13" xfId="0" applyFont="1" applyBorder="1" applyAlignment="1">
      <alignment horizontal="left" vertical="center" shrinkToFit="1"/>
    </xf>
    <xf numFmtId="0" fontId="10" fillId="0" borderId="12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left" vertical="center" shrinkToFit="1"/>
    </xf>
    <xf numFmtId="0" fontId="10" fillId="0" borderId="1" xfId="0" applyFont="1" applyBorder="1" applyAlignment="1">
      <alignment horizontal="right" vertical="center" shrinkToFit="1"/>
    </xf>
    <xf numFmtId="0" fontId="10" fillId="0" borderId="1" xfId="0" quotePrefix="1" applyFont="1" applyBorder="1" applyAlignment="1">
      <alignment horizontal="left" vertical="center" shrinkToFit="1"/>
    </xf>
    <xf numFmtId="0" fontId="10" fillId="0" borderId="14" xfId="0" quotePrefix="1" applyFont="1" applyBorder="1" applyAlignment="1">
      <alignment horizontal="left" vertical="center" shrinkToFit="1"/>
    </xf>
    <xf numFmtId="0" fontId="10" fillId="0" borderId="15" xfId="0" quotePrefix="1" applyFont="1" applyBorder="1" applyAlignment="1">
      <alignment horizontal="left" vertical="center" shrinkToFit="1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vertical="center" shrinkToFit="1"/>
    </xf>
    <xf numFmtId="0" fontId="9" fillId="0" borderId="11" xfId="0" quotePrefix="1" applyFont="1" applyBorder="1" applyAlignment="1">
      <alignment horizontal="center" vertical="center" textRotation="255" shrinkToFit="1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" xfId="0" applyFont="1" applyBorder="1" applyAlignment="1">
      <alignment horizontal="center" vertical="center" textRotation="255" shrinkToFit="1"/>
    </xf>
    <xf numFmtId="0" fontId="9" fillId="0" borderId="12" xfId="0" applyFont="1" applyBorder="1" applyAlignment="1">
      <alignment horizontal="center" vertical="center" textRotation="255" shrinkToFit="1"/>
    </xf>
    <xf numFmtId="0" fontId="9" fillId="0" borderId="7" xfId="0" applyFont="1" applyBorder="1" applyAlignment="1">
      <alignment horizontal="center" vertical="center" textRotation="255" shrinkToFit="1"/>
    </xf>
    <xf numFmtId="0" fontId="9" fillId="0" borderId="11" xfId="0" applyFont="1" applyBorder="1" applyAlignment="1">
      <alignment horizontal="center" vertical="center" textRotation="255" shrinkToFit="1"/>
    </xf>
    <xf numFmtId="0" fontId="10" fillId="2" borderId="1" xfId="0" quotePrefix="1" applyFont="1" applyFill="1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0" fontId="4" fillId="0" borderId="0" xfId="0" applyFont="1">
      <alignment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 wrapText="1"/>
    </xf>
    <xf numFmtId="0" fontId="7" fillId="3" borderId="7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1" fillId="5" borderId="3" xfId="0" quotePrefix="1" applyFont="1" applyFill="1" applyBorder="1" applyAlignment="1">
      <alignment horizontal="left" vertical="center" shrinkToFit="1"/>
    </xf>
    <xf numFmtId="0" fontId="11" fillId="5" borderId="4" xfId="0" quotePrefix="1" applyFont="1" applyFill="1" applyBorder="1" applyAlignment="1">
      <alignment horizontal="left" vertical="center" shrinkToFit="1"/>
    </xf>
    <xf numFmtId="0" fontId="11" fillId="5" borderId="5" xfId="0" quotePrefix="1" applyFont="1" applyFill="1" applyBorder="1" applyAlignment="1">
      <alignment horizontal="left" vertical="center" shrinkToFit="1"/>
    </xf>
    <xf numFmtId="0" fontId="11" fillId="5" borderId="1" xfId="0" quotePrefix="1" applyFont="1" applyFill="1" applyBorder="1" applyAlignment="1">
      <alignment horizontal="left" vertical="center" shrinkToFit="1"/>
    </xf>
    <xf numFmtId="0" fontId="11" fillId="5" borderId="1" xfId="0" applyFont="1" applyFill="1" applyBorder="1" applyAlignment="1">
      <alignment horizontal="left" vertical="center" shrinkToFit="1"/>
    </xf>
    <xf numFmtId="0" fontId="8" fillId="4" borderId="1" xfId="0" quotePrefix="1" applyFont="1" applyFill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 shrinkToFit="1"/>
    </xf>
    <xf numFmtId="0" fontId="8" fillId="4" borderId="3" xfId="0" quotePrefix="1" applyFont="1" applyFill="1" applyBorder="1" applyAlignment="1">
      <alignment horizontal="left" vertical="center" shrinkToFit="1"/>
    </xf>
    <xf numFmtId="0" fontId="8" fillId="4" borderId="4" xfId="0" quotePrefix="1" applyFont="1" applyFill="1" applyBorder="1" applyAlignment="1">
      <alignment horizontal="left" vertical="center" shrinkToFit="1"/>
    </xf>
    <xf numFmtId="0" fontId="8" fillId="4" borderId="5" xfId="0" quotePrefix="1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16"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  <dxf>
      <numFmt numFmtId="176" formatCode="#,###"/>
    </dxf>
    <dxf>
      <numFmt numFmtId="177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5</xdr:row>
      <xdr:rowOff>174625</xdr:rowOff>
    </xdr:from>
    <xdr:to>
      <xdr:col>8</xdr:col>
      <xdr:colOff>2587625</xdr:colOff>
      <xdr:row>7</xdr:row>
      <xdr:rowOff>200025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0CEF5EF-AA07-4F9E-9630-E39A4C0B2743}"/>
            </a:ext>
          </a:extLst>
        </xdr:cNvPr>
        <xdr:cNvSpPr txBox="1"/>
      </xdr:nvSpPr>
      <xdr:spPr>
        <a:xfrm>
          <a:off x="476250" y="189865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en-US" altLang="ko-KR" sz="1500" b="1">
              <a:latin typeface="굴림체" panose="020B0609000101010101" pitchFamily="49" charset="-127"/>
              <a:ea typeface="굴림체" panose="020B0609000101010101" pitchFamily="49" charset="-127"/>
            </a:rPr>
            <a:t>2026</a:t>
          </a:r>
          <a:r>
            <a:rPr lang="ko-KR" altLang="en-US" sz="1500" b="1">
              <a:latin typeface="굴림체" panose="020B0609000101010101" pitchFamily="49" charset="-127"/>
              <a:ea typeface="굴림체" panose="020B0609000101010101" pitchFamily="49" charset="-127"/>
            </a:rPr>
            <a:t>년도</a:t>
          </a:r>
        </a:p>
      </xdr:txBody>
    </xdr:sp>
    <xdr:clientData/>
  </xdr:twoCellAnchor>
  <xdr:twoCellAnchor>
    <xdr:from>
      <xdr:col>0</xdr:col>
      <xdr:colOff>63500</xdr:colOff>
      <xdr:row>8</xdr:row>
      <xdr:rowOff>60325</xdr:rowOff>
    </xdr:from>
    <xdr:to>
      <xdr:col>8</xdr:col>
      <xdr:colOff>2651125</xdr:colOff>
      <xdr:row>15</xdr:row>
      <xdr:rowOff>152400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D0EAC39-B025-4DE3-B30A-0DB52726394D}"/>
            </a:ext>
          </a:extLst>
        </xdr:cNvPr>
        <xdr:cNvSpPr txBox="1"/>
      </xdr:nvSpPr>
      <xdr:spPr>
        <a:xfrm>
          <a:off x="63500" y="2270125"/>
          <a:ext cx="8683625" cy="13589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ctr"/>
          <a:r>
            <a:rPr lang="ko-KR" altLang="en-US" sz="3500" b="1">
              <a:latin typeface="굴림체" panose="020B0609000101010101" pitchFamily="49" charset="-127"/>
              <a:ea typeface="굴림체" panose="020B0609000101010101" pitchFamily="49" charset="-127"/>
            </a:rPr>
            <a:t> 공동실험실습관 외벽개선 환기배관 철거 및 설치 공사</a:t>
          </a:r>
        </a:p>
      </xdr:txBody>
    </xdr:sp>
    <xdr:clientData/>
  </xdr:twoCellAnchor>
  <xdr:twoCellAnchor>
    <xdr:from>
      <xdr:col>0</xdr:col>
      <xdr:colOff>476250</xdr:colOff>
      <xdr:row>16</xdr:row>
      <xdr:rowOff>88900</xdr:rowOff>
    </xdr:from>
    <xdr:to>
      <xdr:col>8</xdr:col>
      <xdr:colOff>2587625</xdr:colOff>
      <xdr:row>18</xdr:row>
      <xdr:rowOff>114300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C50B6BC-AB30-4FBE-AA97-AA9A1A1DAF3E}"/>
            </a:ext>
          </a:extLst>
        </xdr:cNvPr>
        <xdr:cNvSpPr txBox="1"/>
      </xdr:nvSpPr>
      <xdr:spPr>
        <a:xfrm>
          <a:off x="476250" y="3746500"/>
          <a:ext cx="8207375" cy="38735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공사개요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</a:t>
          </a:r>
          <a:endParaRPr lang="ko-KR" altLang="en-US" sz="1400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0</xdr:col>
      <xdr:colOff>476250</xdr:colOff>
      <xdr:row>19</xdr:row>
      <xdr:rowOff>155575</xdr:rowOff>
    </xdr:from>
    <xdr:to>
      <xdr:col>8</xdr:col>
      <xdr:colOff>2587625</xdr:colOff>
      <xdr:row>21</xdr:row>
      <xdr:rowOff>180975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21D7656-D7A8-419C-8B14-D3C3EFD234C1}"/>
            </a:ext>
          </a:extLst>
        </xdr:cNvPr>
        <xdr:cNvSpPr txBox="1"/>
      </xdr:nvSpPr>
      <xdr:spPr>
        <a:xfrm>
          <a:off x="476250" y="4813300"/>
          <a:ext cx="8207375" cy="4445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공사금액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총공사비  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금            정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(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)</a:t>
          </a:r>
          <a:endParaRPr lang="ko-KR" altLang="en-US" sz="1400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1</xdr:col>
      <xdr:colOff>676275</xdr:colOff>
      <xdr:row>21</xdr:row>
      <xdr:rowOff>10795</xdr:rowOff>
    </xdr:from>
    <xdr:to>
      <xdr:col>8</xdr:col>
      <xdr:colOff>2587625</xdr:colOff>
      <xdr:row>24</xdr:row>
      <xdr:rowOff>144145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2A03D08-E36F-43A0-8D7F-28EC4B045F20}"/>
            </a:ext>
          </a:extLst>
        </xdr:cNvPr>
        <xdr:cNvSpPr txBox="1"/>
      </xdr:nvSpPr>
      <xdr:spPr>
        <a:xfrm>
          <a:off x="1333500" y="5087620"/>
          <a:ext cx="7350125" cy="7620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 도급예산액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           원</a:t>
          </a:r>
        </a:p>
        <a:p>
          <a:pPr algn="l"/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  관급자재대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:  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￦          </a:t>
          </a:r>
          <a:r>
            <a:rPr lang="en-US" altLang="ko-KR" sz="1400">
              <a:latin typeface="굴림체" panose="020B0609000101010101" pitchFamily="49" charset="-127"/>
              <a:ea typeface="굴림체" panose="020B0609000101010101" pitchFamily="49" charset="-127"/>
            </a:rPr>
            <a:t>0</a:t>
          </a:r>
          <a:r>
            <a:rPr lang="ko-KR" altLang="en-US" sz="1400">
              <a:latin typeface="굴림체" panose="020B0609000101010101" pitchFamily="49" charset="-127"/>
              <a:ea typeface="굴림체" panose="020B0609000101010101" pitchFamily="49" charset="-127"/>
            </a:rPr>
            <a:t>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526A0-8D66-4A8D-AB8D-A731994C86F1}">
  <sheetPr>
    <tabColor rgb="FFFFFFB7"/>
    <pageSetUpPr fitToPage="1"/>
  </sheetPr>
  <dimension ref="A3:L29"/>
  <sheetViews>
    <sheetView tabSelected="1" workbookViewId="0">
      <selection activeCell="A4" sqref="A4:I29"/>
    </sheetView>
  </sheetViews>
  <sheetFormatPr defaultRowHeight="16.5" x14ac:dyDescent="0.3"/>
  <cols>
    <col min="1" max="1" width="8.625" customWidth="1"/>
    <col min="2" max="2" width="11.375" customWidth="1"/>
    <col min="3" max="3" width="8.625" customWidth="1"/>
    <col min="4" max="4" width="11.375" customWidth="1"/>
    <col min="5" max="5" width="8.625" customWidth="1"/>
    <col min="6" max="6" width="11.375" customWidth="1"/>
    <col min="7" max="7" width="8.625" customWidth="1"/>
    <col min="8" max="8" width="11.375" customWidth="1"/>
    <col min="9" max="9" width="35.625" customWidth="1"/>
  </cols>
  <sheetData>
    <row r="3" spans="1:12" ht="69.95" customHeight="1" x14ac:dyDescent="0.3">
      <c r="A3" s="25" t="s">
        <v>276</v>
      </c>
      <c r="B3" s="26"/>
      <c r="C3" s="25" t="s">
        <v>277</v>
      </c>
      <c r="D3" s="26"/>
      <c r="E3" s="25" t="s">
        <v>278</v>
      </c>
      <c r="F3" s="26"/>
      <c r="G3" s="25" t="s">
        <v>279</v>
      </c>
      <c r="H3" s="26"/>
      <c r="I3" s="27" t="s">
        <v>280</v>
      </c>
      <c r="J3" s="2"/>
    </row>
    <row r="4" spans="1:12" ht="14.65" customHeight="1" x14ac:dyDescent="0.3">
      <c r="A4" s="43"/>
      <c r="B4" s="43"/>
      <c r="C4" s="43"/>
      <c r="D4" s="43"/>
      <c r="E4" s="43"/>
      <c r="F4" s="43"/>
      <c r="G4" s="43"/>
      <c r="H4" s="43"/>
      <c r="I4" s="43"/>
    </row>
    <row r="5" spans="1:12" ht="14.65" customHeight="1" x14ac:dyDescent="0.3">
      <c r="A5" s="44"/>
      <c r="B5" s="44"/>
      <c r="C5" s="44"/>
      <c r="D5" s="44"/>
      <c r="E5" s="44"/>
      <c r="F5" s="44"/>
      <c r="G5" s="44"/>
      <c r="H5" s="44"/>
      <c r="I5" s="44"/>
      <c r="J5" s="28"/>
      <c r="K5" s="28"/>
      <c r="L5" s="28"/>
    </row>
    <row r="6" spans="1:12" ht="14.65" customHeight="1" x14ac:dyDescent="0.3">
      <c r="A6" s="44"/>
      <c r="B6" s="44"/>
      <c r="C6" s="44"/>
      <c r="D6" s="44"/>
      <c r="E6" s="44"/>
      <c r="F6" s="44"/>
      <c r="G6" s="44"/>
      <c r="H6" s="44"/>
      <c r="I6" s="44"/>
      <c r="J6" s="28"/>
      <c r="K6" s="28"/>
      <c r="L6" s="28"/>
    </row>
    <row r="7" spans="1:12" ht="14.65" customHeight="1" x14ac:dyDescent="0.3">
      <c r="A7" s="44"/>
      <c r="B7" s="44"/>
      <c r="C7" s="44"/>
      <c r="D7" s="44"/>
      <c r="E7" s="44"/>
      <c r="F7" s="44"/>
      <c r="G7" s="44"/>
      <c r="H7" s="44"/>
      <c r="I7" s="44"/>
      <c r="J7" s="28"/>
      <c r="K7" s="28"/>
      <c r="L7" s="28"/>
    </row>
    <row r="8" spans="1:12" ht="14.65" customHeight="1" x14ac:dyDescent="0.3">
      <c r="A8" s="44"/>
      <c r="B8" s="44"/>
      <c r="C8" s="44"/>
      <c r="D8" s="44"/>
      <c r="E8" s="44"/>
      <c r="F8" s="44"/>
      <c r="G8" s="44"/>
      <c r="H8" s="44"/>
      <c r="I8" s="44"/>
      <c r="J8" s="28"/>
      <c r="K8" s="28"/>
      <c r="L8" s="28"/>
    </row>
    <row r="9" spans="1:12" ht="14.65" customHeight="1" x14ac:dyDescent="0.3">
      <c r="A9" s="44"/>
      <c r="B9" s="44"/>
      <c r="C9" s="44"/>
      <c r="D9" s="44"/>
      <c r="E9" s="44"/>
      <c r="F9" s="44"/>
      <c r="G9" s="44"/>
      <c r="H9" s="44"/>
      <c r="I9" s="44"/>
      <c r="J9" s="28"/>
      <c r="K9" s="28"/>
      <c r="L9" s="28"/>
    </row>
    <row r="10" spans="1:12" ht="14.65" customHeight="1" x14ac:dyDescent="0.3">
      <c r="A10" s="44"/>
      <c r="B10" s="44"/>
      <c r="C10" s="44"/>
      <c r="D10" s="44"/>
      <c r="E10" s="44"/>
      <c r="F10" s="44"/>
      <c r="G10" s="44"/>
      <c r="H10" s="44"/>
      <c r="I10" s="44"/>
      <c r="J10" s="28"/>
      <c r="K10" s="28"/>
      <c r="L10" s="28"/>
    </row>
    <row r="11" spans="1:12" ht="14.65" customHeight="1" x14ac:dyDescent="0.3">
      <c r="A11" s="44"/>
      <c r="B11" s="44"/>
      <c r="C11" s="44"/>
      <c r="D11" s="44"/>
      <c r="E11" s="44"/>
      <c r="F11" s="44"/>
      <c r="G11" s="44"/>
      <c r="H11" s="44"/>
      <c r="I11" s="44"/>
      <c r="J11" s="28"/>
      <c r="K11" s="28"/>
      <c r="L11" s="28"/>
    </row>
    <row r="12" spans="1:12" ht="14.65" customHeight="1" x14ac:dyDescent="0.3">
      <c r="A12" s="44"/>
      <c r="B12" s="44"/>
      <c r="C12" s="44"/>
      <c r="D12" s="44"/>
      <c r="E12" s="44"/>
      <c r="F12" s="44"/>
      <c r="G12" s="44"/>
      <c r="H12" s="44"/>
      <c r="I12" s="44"/>
      <c r="J12" s="28"/>
      <c r="K12" s="28"/>
      <c r="L12" s="28"/>
    </row>
    <row r="13" spans="1:12" ht="14.65" customHeight="1" x14ac:dyDescent="0.3">
      <c r="A13" s="44"/>
      <c r="B13" s="44"/>
      <c r="C13" s="44"/>
      <c r="D13" s="44"/>
      <c r="E13" s="44"/>
      <c r="F13" s="44"/>
      <c r="G13" s="44"/>
      <c r="H13" s="44"/>
      <c r="I13" s="44"/>
      <c r="J13" s="28"/>
      <c r="K13" s="28"/>
      <c r="L13" s="28"/>
    </row>
    <row r="14" spans="1:12" ht="14.65" customHeight="1" x14ac:dyDescent="0.3">
      <c r="A14" s="44"/>
      <c r="B14" s="44"/>
      <c r="C14" s="44"/>
      <c r="D14" s="44"/>
      <c r="E14" s="44"/>
      <c r="F14" s="44"/>
      <c r="G14" s="44"/>
      <c r="H14" s="44"/>
      <c r="I14" s="44"/>
      <c r="J14" s="28"/>
      <c r="K14" s="28"/>
      <c r="L14" s="28"/>
    </row>
    <row r="15" spans="1:12" ht="14.65" customHeight="1" x14ac:dyDescent="0.3">
      <c r="A15" s="44"/>
      <c r="B15" s="44"/>
      <c r="C15" s="44"/>
      <c r="D15" s="44"/>
      <c r="E15" s="44"/>
      <c r="F15" s="44"/>
      <c r="G15" s="44"/>
      <c r="H15" s="44"/>
      <c r="I15" s="44"/>
      <c r="J15" s="28"/>
      <c r="K15" s="28"/>
      <c r="L15" s="28"/>
    </row>
    <row r="16" spans="1:12" ht="14.65" customHeight="1" x14ac:dyDescent="0.3">
      <c r="A16" s="44"/>
      <c r="B16" s="44"/>
      <c r="C16" s="44"/>
      <c r="D16" s="44"/>
      <c r="E16" s="44"/>
      <c r="F16" s="44"/>
      <c r="G16" s="44"/>
      <c r="H16" s="44"/>
      <c r="I16" s="44"/>
      <c r="J16" s="28"/>
      <c r="K16" s="28"/>
      <c r="L16" s="28"/>
    </row>
    <row r="17" spans="1:12" ht="14.65" customHeight="1" x14ac:dyDescent="0.3">
      <c r="A17" s="44"/>
      <c r="B17" s="44"/>
      <c r="C17" s="44"/>
      <c r="D17" s="44"/>
      <c r="E17" s="44"/>
      <c r="F17" s="44"/>
      <c r="G17" s="44"/>
      <c r="H17" s="44"/>
      <c r="I17" s="44"/>
      <c r="J17" s="28"/>
      <c r="K17" s="28"/>
      <c r="L17" s="28"/>
    </row>
    <row r="18" spans="1:12" ht="14.65" customHeight="1" x14ac:dyDescent="0.3">
      <c r="A18" s="44"/>
      <c r="B18" s="44"/>
      <c r="C18" s="44"/>
      <c r="D18" s="44"/>
      <c r="E18" s="44"/>
      <c r="F18" s="44"/>
      <c r="G18" s="44"/>
      <c r="H18" s="44"/>
      <c r="I18" s="44"/>
      <c r="J18" s="28"/>
      <c r="K18" s="28"/>
      <c r="L18" s="28"/>
    </row>
    <row r="19" spans="1:12" ht="14.65" customHeight="1" x14ac:dyDescent="0.3">
      <c r="A19" s="44"/>
      <c r="B19" s="44"/>
      <c r="C19" s="44"/>
      <c r="D19" s="44"/>
      <c r="E19" s="44"/>
      <c r="F19" s="44"/>
      <c r="G19" s="44"/>
      <c r="H19" s="44"/>
      <c r="I19" s="44"/>
      <c r="J19" s="28"/>
      <c r="K19" s="28"/>
      <c r="L19" s="28"/>
    </row>
    <row r="20" spans="1:12" ht="14.65" customHeight="1" x14ac:dyDescent="0.3">
      <c r="A20" s="44"/>
      <c r="B20" s="44"/>
      <c r="C20" s="44"/>
      <c r="D20" s="44"/>
      <c r="E20" s="44"/>
      <c r="F20" s="44"/>
      <c r="G20" s="44"/>
      <c r="H20" s="44"/>
      <c r="I20" s="44"/>
      <c r="J20" s="28"/>
      <c r="K20" s="28"/>
      <c r="L20" s="28"/>
    </row>
    <row r="21" spans="1:12" ht="14.65" customHeight="1" x14ac:dyDescent="0.3">
      <c r="A21" s="43"/>
      <c r="B21" s="43"/>
      <c r="C21" s="43"/>
      <c r="D21" s="43"/>
      <c r="E21" s="43"/>
      <c r="F21" s="43"/>
      <c r="G21" s="43"/>
      <c r="H21" s="43"/>
      <c r="I21" s="43"/>
    </row>
    <row r="22" spans="1:12" ht="14.65" customHeight="1" x14ac:dyDescent="0.3">
      <c r="A22" s="43"/>
      <c r="B22" s="43"/>
      <c r="C22" s="43"/>
      <c r="D22" s="43"/>
      <c r="E22" s="43"/>
      <c r="F22" s="43"/>
      <c r="G22" s="43"/>
      <c r="H22" s="43"/>
      <c r="I22" s="43"/>
    </row>
    <row r="23" spans="1:12" ht="14.65" customHeight="1" x14ac:dyDescent="0.3">
      <c r="A23" s="43"/>
      <c r="B23" s="43"/>
      <c r="C23" s="43"/>
      <c r="D23" s="43"/>
      <c r="E23" s="43"/>
      <c r="F23" s="43"/>
      <c r="G23" s="43"/>
      <c r="H23" s="43"/>
      <c r="I23" s="43"/>
    </row>
    <row r="24" spans="1:12" ht="14.65" customHeight="1" x14ac:dyDescent="0.3">
      <c r="A24" s="43"/>
      <c r="B24" s="43"/>
      <c r="C24" s="43"/>
      <c r="D24" s="43"/>
      <c r="E24" s="43"/>
      <c r="F24" s="43"/>
      <c r="G24" s="43"/>
      <c r="H24" s="43"/>
      <c r="I24" s="43"/>
    </row>
    <row r="25" spans="1:12" ht="14.65" customHeight="1" x14ac:dyDescent="0.3">
      <c r="A25" s="43"/>
      <c r="B25" s="43"/>
      <c r="C25" s="43"/>
      <c r="D25" s="43"/>
      <c r="E25" s="43"/>
      <c r="F25" s="43"/>
      <c r="G25" s="43"/>
      <c r="H25" s="43"/>
      <c r="I25" s="43"/>
    </row>
    <row r="26" spans="1:12" ht="14.65" customHeight="1" x14ac:dyDescent="0.3">
      <c r="A26" s="43"/>
      <c r="B26" s="43"/>
      <c r="C26" s="43"/>
      <c r="D26" s="43"/>
      <c r="E26" s="43"/>
      <c r="F26" s="43"/>
      <c r="G26" s="43"/>
      <c r="H26" s="43"/>
      <c r="I26" s="43"/>
    </row>
    <row r="27" spans="1:12" ht="14.65" customHeight="1" x14ac:dyDescent="0.3">
      <c r="A27" s="43"/>
      <c r="B27" s="43"/>
      <c r="C27" s="43"/>
      <c r="D27" s="43"/>
      <c r="E27" s="43"/>
      <c r="F27" s="43"/>
      <c r="G27" s="43"/>
      <c r="H27" s="43"/>
      <c r="I27" s="43"/>
    </row>
    <row r="28" spans="1:12" ht="14.65" customHeight="1" x14ac:dyDescent="0.3">
      <c r="A28" s="43"/>
      <c r="B28" s="43"/>
      <c r="C28" s="43"/>
      <c r="D28" s="43"/>
      <c r="E28" s="43"/>
      <c r="F28" s="43"/>
      <c r="G28" s="43"/>
      <c r="H28" s="43"/>
      <c r="I28" s="43"/>
    </row>
    <row r="29" spans="1:12" ht="14.65" customHeight="1" x14ac:dyDescent="0.3">
      <c r="A29" s="43"/>
      <c r="B29" s="43"/>
      <c r="C29" s="43"/>
      <c r="D29" s="43"/>
      <c r="E29" s="43"/>
      <c r="F29" s="43"/>
      <c r="G29" s="43"/>
      <c r="H29" s="43"/>
      <c r="I29" s="43"/>
    </row>
  </sheetData>
  <mergeCells count="1">
    <mergeCell ref="A4:I29"/>
  </mergeCells>
  <phoneticPr fontId="1" type="noConversion"/>
  <pageMargins left="0.97340194680389358" right="0.97340194680389358" top="0.73718147436294867" bottom="0.1388888888888889" header="0.3" footer="0.1388888888888889"/>
  <pageSetup paperSize="9" scale="98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5BE08-5197-4A82-BA54-0BC2ECA8135B}">
  <sheetPr>
    <tabColor rgb="FFF19D86"/>
  </sheetPr>
  <dimension ref="A1:J3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3" sqref="A3:C4"/>
    </sheetView>
  </sheetViews>
  <sheetFormatPr defaultRowHeight="16.5" x14ac:dyDescent="0.3"/>
  <cols>
    <col min="1" max="2" width="3.625" customWidth="1"/>
    <col min="3" max="3" width="15.625" style="1" customWidth="1"/>
    <col min="4" max="4" width="55.625" style="1" customWidth="1"/>
    <col min="5" max="5" width="25.625" style="3" customWidth="1"/>
    <col min="6" max="6" width="19.625" style="1" customWidth="1"/>
    <col min="7" max="10" width="9" hidden="1" customWidth="1"/>
    <col min="11" max="11" width="9" customWidth="1"/>
  </cols>
  <sheetData>
    <row r="1" spans="1:9" ht="30" customHeight="1" x14ac:dyDescent="0.3">
      <c r="A1" s="55" t="s">
        <v>281</v>
      </c>
      <c r="B1" s="55"/>
      <c r="C1" s="55"/>
      <c r="D1" s="55"/>
      <c r="E1" s="55"/>
      <c r="F1" s="55"/>
    </row>
    <row r="2" spans="1:9" ht="15.95" customHeight="1" x14ac:dyDescent="0.3">
      <c r="A2" s="56" t="s">
        <v>339</v>
      </c>
      <c r="B2" s="57"/>
      <c r="C2" s="57"/>
      <c r="D2" s="57"/>
      <c r="E2" s="57"/>
      <c r="F2" s="57"/>
    </row>
    <row r="3" spans="1:9" ht="12" customHeight="1" x14ac:dyDescent="0.3">
      <c r="A3" s="58" t="s">
        <v>282</v>
      </c>
      <c r="B3" s="59"/>
      <c r="C3" s="60"/>
      <c r="D3" s="64" t="s">
        <v>283</v>
      </c>
      <c r="E3" s="64" t="s">
        <v>284</v>
      </c>
      <c r="F3" s="64" t="s">
        <v>285</v>
      </c>
    </row>
    <row r="4" spans="1:9" ht="12" customHeight="1" x14ac:dyDescent="0.3">
      <c r="A4" s="61"/>
      <c r="B4" s="62"/>
      <c r="C4" s="63"/>
      <c r="D4" s="64"/>
      <c r="E4" s="64"/>
      <c r="F4" s="64"/>
    </row>
    <row r="5" spans="1:9" ht="15.95" customHeight="1" x14ac:dyDescent="0.3">
      <c r="A5" s="45" t="s">
        <v>334</v>
      </c>
      <c r="B5" s="45" t="s">
        <v>145</v>
      </c>
      <c r="C5" s="29" t="s">
        <v>286</v>
      </c>
      <c r="D5" s="29" t="s">
        <v>134</v>
      </c>
      <c r="E5" s="30">
        <f>ROUNDDOWN(집계표!E20-집계표!AU20, 0)</f>
        <v>0</v>
      </c>
      <c r="F5" s="29" t="s">
        <v>134</v>
      </c>
      <c r="G5" s="11" t="s">
        <v>287</v>
      </c>
      <c r="H5">
        <v>0</v>
      </c>
      <c r="I5">
        <f t="shared" ref="I5:I25" si="0">E5</f>
        <v>0</v>
      </c>
    </row>
    <row r="6" spans="1:9" ht="15.95" customHeight="1" x14ac:dyDescent="0.3">
      <c r="A6" s="48"/>
      <c r="B6" s="48"/>
      <c r="C6" s="31" t="s">
        <v>288</v>
      </c>
      <c r="D6" s="31" t="s">
        <v>134</v>
      </c>
      <c r="E6" s="32">
        <f>ROUNDDOWN(E5*H6, 0)</f>
        <v>0</v>
      </c>
      <c r="F6" s="31" t="s">
        <v>134</v>
      </c>
      <c r="G6" s="11" t="s">
        <v>289</v>
      </c>
      <c r="H6">
        <v>0</v>
      </c>
      <c r="I6">
        <f t="shared" si="0"/>
        <v>0</v>
      </c>
    </row>
    <row r="7" spans="1:9" ht="15.95" customHeight="1" x14ac:dyDescent="0.3">
      <c r="A7" s="46"/>
      <c r="B7" s="46"/>
      <c r="C7" s="33" t="s">
        <v>290</v>
      </c>
      <c r="D7" s="33" t="s">
        <v>134</v>
      </c>
      <c r="E7" s="34">
        <f>집계표!S20</f>
        <v>0</v>
      </c>
      <c r="F7" s="33" t="s">
        <v>134</v>
      </c>
      <c r="G7" s="11" t="s">
        <v>291</v>
      </c>
      <c r="H7">
        <v>0</v>
      </c>
      <c r="I7">
        <f t="shared" si="0"/>
        <v>0</v>
      </c>
    </row>
    <row r="8" spans="1:9" ht="15.95" customHeight="1" x14ac:dyDescent="0.3">
      <c r="A8" s="47"/>
      <c r="B8" s="47"/>
      <c r="C8" s="35" t="s">
        <v>292</v>
      </c>
      <c r="D8" s="35" t="s">
        <v>134</v>
      </c>
      <c r="E8" s="21">
        <f>SUM(E5:E6)-ABS(E7)</f>
        <v>0</v>
      </c>
      <c r="F8" s="35" t="s">
        <v>134</v>
      </c>
      <c r="G8" s="11" t="s">
        <v>293</v>
      </c>
      <c r="H8">
        <v>0</v>
      </c>
      <c r="I8">
        <f t="shared" si="0"/>
        <v>0</v>
      </c>
    </row>
    <row r="9" spans="1:9" ht="15.95" customHeight="1" x14ac:dyDescent="0.3">
      <c r="A9" s="50"/>
      <c r="B9" s="45" t="s">
        <v>332</v>
      </c>
      <c r="C9" s="29" t="s">
        <v>294</v>
      </c>
      <c r="D9" s="29" t="s">
        <v>134</v>
      </c>
      <c r="E9" s="30">
        <f>ROUNDDOWN(집계표!G20, 0)</f>
        <v>0</v>
      </c>
      <c r="F9" s="29" t="s">
        <v>134</v>
      </c>
      <c r="G9" s="11" t="s">
        <v>295</v>
      </c>
      <c r="H9">
        <v>0</v>
      </c>
      <c r="I9">
        <f t="shared" si="0"/>
        <v>0</v>
      </c>
    </row>
    <row r="10" spans="1:9" ht="15.95" customHeight="1" x14ac:dyDescent="0.3">
      <c r="A10" s="46"/>
      <c r="B10" s="46"/>
      <c r="C10" s="33" t="s">
        <v>296</v>
      </c>
      <c r="D10" s="36" t="str">
        <f>"직.노*"&amp;H10*100&amp;"%"</f>
        <v>직.노*17.5%</v>
      </c>
      <c r="E10" s="34">
        <f>ROUNDDOWN(E9*H10, 0)</f>
        <v>0</v>
      </c>
      <c r="F10" s="33" t="s">
        <v>134</v>
      </c>
      <c r="G10" s="11" t="s">
        <v>297</v>
      </c>
      <c r="H10">
        <v>0.17499999999999999</v>
      </c>
      <c r="I10">
        <f t="shared" si="0"/>
        <v>0</v>
      </c>
    </row>
    <row r="11" spans="1:9" ht="15.95" customHeight="1" x14ac:dyDescent="0.3">
      <c r="A11" s="47"/>
      <c r="B11" s="47"/>
      <c r="C11" s="35" t="s">
        <v>292</v>
      </c>
      <c r="D11" s="35" t="s">
        <v>134</v>
      </c>
      <c r="E11" s="21">
        <f>SUM(E9:E10)</f>
        <v>0</v>
      </c>
      <c r="F11" s="35" t="s">
        <v>134</v>
      </c>
      <c r="G11" s="11" t="s">
        <v>298</v>
      </c>
      <c r="H11">
        <v>0</v>
      </c>
      <c r="I11">
        <f t="shared" si="0"/>
        <v>0</v>
      </c>
    </row>
    <row r="12" spans="1:9" ht="15.95" customHeight="1" x14ac:dyDescent="0.3">
      <c r="A12" s="50"/>
      <c r="B12" s="45" t="s">
        <v>333</v>
      </c>
      <c r="C12" s="29" t="s">
        <v>299</v>
      </c>
      <c r="D12" s="29" t="s">
        <v>134</v>
      </c>
      <c r="E12" s="30">
        <f>ROUNDDOWN(집계표!I20, 0)</f>
        <v>0</v>
      </c>
      <c r="F12" s="29" t="s">
        <v>134</v>
      </c>
      <c r="G12" s="11" t="s">
        <v>300</v>
      </c>
      <c r="H12">
        <v>0</v>
      </c>
      <c r="I12">
        <f t="shared" si="0"/>
        <v>0</v>
      </c>
    </row>
    <row r="13" spans="1:9" ht="15.95" customHeight="1" x14ac:dyDescent="0.3">
      <c r="A13" s="48"/>
      <c r="B13" s="48"/>
      <c r="C13" s="31" t="s">
        <v>301</v>
      </c>
      <c r="D13" s="37" t="str">
        <f>"(노)*"&amp;H13*100&amp;"%"</f>
        <v>(노)*3.56%</v>
      </c>
      <c r="E13" s="32">
        <f>ROUNDDOWN((E11)*H13, 0)</f>
        <v>0</v>
      </c>
      <c r="F13" s="31" t="s">
        <v>134</v>
      </c>
      <c r="G13" s="11" t="s">
        <v>302</v>
      </c>
      <c r="H13">
        <v>3.56E-2</v>
      </c>
      <c r="I13">
        <f t="shared" si="0"/>
        <v>0</v>
      </c>
    </row>
    <row r="14" spans="1:9" ht="15.95" customHeight="1" x14ac:dyDescent="0.3">
      <c r="A14" s="48"/>
      <c r="B14" s="48"/>
      <c r="C14" s="31" t="s">
        <v>303</v>
      </c>
      <c r="D14" s="37" t="str">
        <f>"(노)*"&amp;H14*100&amp;"%"</f>
        <v>(노)*1.01%</v>
      </c>
      <c r="E14" s="32">
        <f>ROUNDDOWN((E11)*H14, 0)</f>
        <v>0</v>
      </c>
      <c r="F14" s="31" t="s">
        <v>134</v>
      </c>
      <c r="G14" s="11" t="s">
        <v>304</v>
      </c>
      <c r="H14">
        <v>1.01E-2</v>
      </c>
      <c r="I14">
        <f t="shared" si="0"/>
        <v>0</v>
      </c>
    </row>
    <row r="15" spans="1:9" ht="15.95" customHeight="1" x14ac:dyDescent="0.3">
      <c r="A15" s="48"/>
      <c r="B15" s="48"/>
      <c r="C15" s="31" t="s">
        <v>305</v>
      </c>
      <c r="D15" s="37" t="str">
        <f>"(직.노)*"&amp;H15*100&amp;"%"</f>
        <v>(직.노)*3.595%</v>
      </c>
      <c r="E15" s="32">
        <f>ROUNDDOWN((E9)*H15, 0)</f>
        <v>0</v>
      </c>
      <c r="F15" s="31" t="s">
        <v>134</v>
      </c>
      <c r="G15" s="11" t="s">
        <v>306</v>
      </c>
      <c r="H15">
        <v>3.5950000000000003E-2</v>
      </c>
      <c r="I15">
        <f t="shared" si="0"/>
        <v>0</v>
      </c>
    </row>
    <row r="16" spans="1:9" ht="15.95" customHeight="1" x14ac:dyDescent="0.3">
      <c r="A16" s="48"/>
      <c r="B16" s="48"/>
      <c r="C16" s="31" t="s">
        <v>307</v>
      </c>
      <c r="D16" s="37" t="str">
        <f>"(직.노)*"&amp;H16*100&amp;"%"</f>
        <v>(직.노)*4.75%</v>
      </c>
      <c r="E16" s="32">
        <f>ROUNDDOWN((E9)*H16, 0)</f>
        <v>0</v>
      </c>
      <c r="F16" s="31" t="s">
        <v>134</v>
      </c>
      <c r="G16" s="11" t="s">
        <v>308</v>
      </c>
      <c r="H16">
        <v>4.7500000000000001E-2</v>
      </c>
      <c r="I16">
        <f t="shared" si="0"/>
        <v>0</v>
      </c>
    </row>
    <row r="17" spans="1:10" ht="15.95" customHeight="1" x14ac:dyDescent="0.3">
      <c r="A17" s="48"/>
      <c r="B17" s="48"/>
      <c r="C17" s="31" t="s">
        <v>309</v>
      </c>
      <c r="D17" s="37" t="str">
        <f>"(건강보험료)*"&amp;H17*100&amp;"%"</f>
        <v>(건강보험료)*13.14%</v>
      </c>
      <c r="E17" s="32">
        <f>ROUNDDOWN((E15)*H17, 0)</f>
        <v>0</v>
      </c>
      <c r="F17" s="31" t="s">
        <v>134</v>
      </c>
      <c r="G17" s="11" t="s">
        <v>310</v>
      </c>
      <c r="H17">
        <v>0.13140000000000002</v>
      </c>
      <c r="I17">
        <f t="shared" si="0"/>
        <v>0</v>
      </c>
    </row>
    <row r="18" spans="1:10" ht="15.95" customHeight="1" x14ac:dyDescent="0.3">
      <c r="A18" s="48"/>
      <c r="B18" s="48"/>
      <c r="C18" s="31" t="s">
        <v>311</v>
      </c>
      <c r="D18" s="37" t="str">
        <f>"(재+직.노+(관급-0)/1.1)*"&amp;H18*100&amp;"%"&amp;" &lt; (재+직.노)*3.11%*1.2"</f>
        <v>(재+직.노+(관급-0)/1.1)*3.11% &lt; (재+직.노)*3.11%*1.2</v>
      </c>
      <c r="E18" s="32">
        <f>ROUNDDOWN((E8+E9+(0-0)/1.1)*H18, 0)</f>
        <v>0</v>
      </c>
      <c r="F18" s="31" t="s">
        <v>312</v>
      </c>
      <c r="G18" s="11" t="s">
        <v>313</v>
      </c>
      <c r="H18">
        <v>3.1099999999999999E-2</v>
      </c>
      <c r="I18">
        <f t="shared" si="0"/>
        <v>0</v>
      </c>
    </row>
    <row r="19" spans="1:10" ht="15.95" customHeight="1" x14ac:dyDescent="0.3">
      <c r="A19" s="48"/>
      <c r="B19" s="48"/>
      <c r="C19" s="31" t="s">
        <v>314</v>
      </c>
      <c r="D19" s="37" t="str">
        <f>"(재+노)*"&amp;H19*100&amp;"%"</f>
        <v>(재+노)*5%</v>
      </c>
      <c r="E19" s="32">
        <f>ROUNDDOWN((E8+E11)*H19, 0)</f>
        <v>0</v>
      </c>
      <c r="F19" s="31" t="s">
        <v>134</v>
      </c>
      <c r="G19" s="11" t="s">
        <v>315</v>
      </c>
      <c r="H19">
        <v>0.05</v>
      </c>
      <c r="I19">
        <f t="shared" si="0"/>
        <v>0</v>
      </c>
    </row>
    <row r="20" spans="1:10" ht="15.95" customHeight="1" x14ac:dyDescent="0.3">
      <c r="A20" s="46"/>
      <c r="B20" s="46"/>
      <c r="C20" s="31" t="s">
        <v>316</v>
      </c>
      <c r="D20" s="37" t="str">
        <f>"(재+직.노+기.경)*"&amp;H20*100&amp;"%"</f>
        <v>(재+직.노+기.경)*0.3%</v>
      </c>
      <c r="E20" s="32">
        <f>ROUNDDOWN((E8+E9+E12)*H20, 0)</f>
        <v>0</v>
      </c>
      <c r="F20" s="31" t="s">
        <v>134</v>
      </c>
      <c r="G20" s="11" t="s">
        <v>317</v>
      </c>
      <c r="H20">
        <v>3.0000000000000001E-3</v>
      </c>
      <c r="I20">
        <f t="shared" si="0"/>
        <v>0</v>
      </c>
    </row>
    <row r="21" spans="1:10" ht="15.95" customHeight="1" x14ac:dyDescent="0.3">
      <c r="A21" s="46"/>
      <c r="B21" s="49"/>
      <c r="C21" s="41" t="s">
        <v>335</v>
      </c>
      <c r="D21" s="37" t="str">
        <f>"(노)*"&amp;H21*100&amp;"%"</f>
        <v>(노)*0.006%</v>
      </c>
      <c r="E21" s="32">
        <f>ROUNDDOWN((E11)*H21, 0)</f>
        <v>0</v>
      </c>
      <c r="F21" s="42"/>
      <c r="G21" s="11" t="s">
        <v>337</v>
      </c>
      <c r="H21">
        <v>6.0000000000000002E-5</v>
      </c>
      <c r="I21">
        <f>E21</f>
        <v>0</v>
      </c>
    </row>
    <row r="22" spans="1:10" ht="15.95" customHeight="1" x14ac:dyDescent="0.3">
      <c r="A22" s="46"/>
      <c r="B22" s="46"/>
      <c r="C22" s="33" t="s">
        <v>336</v>
      </c>
      <c r="D22" s="37" t="str">
        <f>"(노)*"&amp;H22*100&amp;"%"</f>
        <v>(노)*0.09%</v>
      </c>
      <c r="E22" s="32">
        <f>ROUNDDOWN((E11)*H22, 0)</f>
        <v>0</v>
      </c>
      <c r="F22" s="33"/>
      <c r="G22" s="11" t="s">
        <v>338</v>
      </c>
      <c r="H22">
        <v>8.9999999999999998E-4</v>
      </c>
      <c r="I22">
        <f>E22</f>
        <v>0</v>
      </c>
    </row>
    <row r="23" spans="1:10" ht="15.95" customHeight="1" x14ac:dyDescent="0.3">
      <c r="A23" s="47"/>
      <c r="B23" s="47"/>
      <c r="C23" s="35" t="s">
        <v>292</v>
      </c>
      <c r="D23" s="35" t="s">
        <v>134</v>
      </c>
      <c r="E23" s="21">
        <f>SUM(E12:E20)</f>
        <v>0</v>
      </c>
      <c r="F23" s="35" t="s">
        <v>134</v>
      </c>
      <c r="G23" s="11" t="s">
        <v>318</v>
      </c>
      <c r="H23">
        <v>0</v>
      </c>
      <c r="I23">
        <f t="shared" si="0"/>
        <v>0</v>
      </c>
    </row>
    <row r="24" spans="1:10" ht="15.95" customHeight="1" x14ac:dyDescent="0.3">
      <c r="A24" s="47"/>
      <c r="B24" s="51" t="s">
        <v>319</v>
      </c>
      <c r="C24" s="52"/>
      <c r="D24" s="35" t="s">
        <v>134</v>
      </c>
      <c r="E24" s="21">
        <f>E8+E11+E23</f>
        <v>0</v>
      </c>
      <c r="F24" s="35" t="s">
        <v>134</v>
      </c>
      <c r="G24" s="11" t="s">
        <v>320</v>
      </c>
      <c r="H24">
        <v>0</v>
      </c>
      <c r="I24">
        <f t="shared" si="0"/>
        <v>0</v>
      </c>
    </row>
    <row r="25" spans="1:10" ht="15.95" customHeight="1" x14ac:dyDescent="0.3">
      <c r="A25" s="53" t="s">
        <v>321</v>
      </c>
      <c r="B25" s="54"/>
      <c r="C25" s="54"/>
      <c r="D25" s="38" t="str">
        <f>"(재+노+경)*"&amp;H25*100&amp;"%"</f>
        <v>(재+노+경)*8%</v>
      </c>
      <c r="E25" s="39">
        <f>ROUNDDOWN((E8+E11+E23)*H25, 0)</f>
        <v>0</v>
      </c>
      <c r="F25" s="40" t="s">
        <v>134</v>
      </c>
      <c r="G25" s="11" t="s">
        <v>322</v>
      </c>
      <c r="H25">
        <v>0.08</v>
      </c>
      <c r="I25">
        <f t="shared" si="0"/>
        <v>0</v>
      </c>
    </row>
    <row r="26" spans="1:10" ht="15.95" customHeight="1" x14ac:dyDescent="0.3">
      <c r="A26" s="53" t="s">
        <v>323</v>
      </c>
      <c r="B26" s="54"/>
      <c r="C26" s="54"/>
      <c r="D26" s="38" t="str">
        <f>"(노+경+일)*"&amp;H26*100&amp;"%"</f>
        <v>(노+경+일)*15%</v>
      </c>
      <c r="E26" s="39">
        <f>ROUNDDOWN((E11+E23+E25)*H26, 0)</f>
        <v>0</v>
      </c>
      <c r="F26" s="40" t="s">
        <v>134</v>
      </c>
      <c r="G26" s="11" t="s">
        <v>324</v>
      </c>
      <c r="H26">
        <v>0.15</v>
      </c>
      <c r="I26">
        <f>(I11+I23+I25)*H26</f>
        <v>0</v>
      </c>
    </row>
    <row r="27" spans="1:10" ht="15.95" customHeight="1" x14ac:dyDescent="0.3">
      <c r="A27" s="53" t="s">
        <v>290</v>
      </c>
      <c r="B27" s="54"/>
      <c r="C27" s="54"/>
      <c r="D27" s="40" t="s">
        <v>134</v>
      </c>
      <c r="E27" s="39">
        <f>집계표!AF20</f>
        <v>0</v>
      </c>
      <c r="F27" s="40" t="s">
        <v>134</v>
      </c>
      <c r="G27" s="11" t="s">
        <v>59</v>
      </c>
      <c r="H27">
        <v>0</v>
      </c>
      <c r="I27">
        <f>E27</f>
        <v>0</v>
      </c>
    </row>
    <row r="28" spans="1:10" ht="15.95" customHeight="1" x14ac:dyDescent="0.3">
      <c r="A28" s="53" t="s">
        <v>325</v>
      </c>
      <c r="B28" s="54"/>
      <c r="C28" s="54"/>
      <c r="D28" s="40" t="s">
        <v>134</v>
      </c>
      <c r="E28" s="39">
        <f>SUM(E24:E27)</f>
        <v>0</v>
      </c>
      <c r="F28" s="40" t="s">
        <v>134</v>
      </c>
      <c r="G28" s="11" t="s">
        <v>326</v>
      </c>
      <c r="H28">
        <v>0</v>
      </c>
      <c r="I28">
        <f>SUM(I24:I27)</f>
        <v>0</v>
      </c>
    </row>
    <row r="29" spans="1:10" ht="15.95" customHeight="1" x14ac:dyDescent="0.3">
      <c r="A29" s="53" t="s">
        <v>327</v>
      </c>
      <c r="B29" s="54"/>
      <c r="C29" s="54"/>
      <c r="D29" s="38" t="str">
        <f>"(총원가)*"&amp;H29*100&amp;"%"</f>
        <v>(총원가)*10%</v>
      </c>
      <c r="E29" s="39">
        <f>ROUNDDOWN(((E30)/110)*10, 0)+J29</f>
        <v>20</v>
      </c>
      <c r="F29" s="40" t="s">
        <v>134</v>
      </c>
      <c r="G29" s="11" t="s">
        <v>328</v>
      </c>
      <c r="H29">
        <v>0.1</v>
      </c>
      <c r="I29">
        <f>ROUNDDOWN((I28)*H29, 0)+20</f>
        <v>20</v>
      </c>
      <c r="J29">
        <v>20</v>
      </c>
    </row>
    <row r="30" spans="1:10" ht="15.95" customHeight="1" x14ac:dyDescent="0.3">
      <c r="A30" s="51" t="s">
        <v>329</v>
      </c>
      <c r="B30" s="52"/>
      <c r="C30" s="52"/>
      <c r="D30" s="35" t="s">
        <v>134</v>
      </c>
      <c r="E30" s="21">
        <f>INT(I30/1000)*1000</f>
        <v>0</v>
      </c>
      <c r="F30" s="35" t="s">
        <v>134</v>
      </c>
      <c r="G30" s="11" t="s">
        <v>330</v>
      </c>
      <c r="H30">
        <v>0</v>
      </c>
      <c r="I30">
        <f>I28+I29</f>
        <v>20</v>
      </c>
    </row>
    <row r="31" spans="1:10" ht="15.95" customHeight="1" x14ac:dyDescent="0.3">
      <c r="A31" s="51" t="s">
        <v>331</v>
      </c>
      <c r="B31" s="52"/>
      <c r="C31" s="52"/>
      <c r="D31" s="35" t="s">
        <v>134</v>
      </c>
      <c r="E31" s="21">
        <f>ROUNDDOWN(E30+0+0+0, 0)</f>
        <v>0</v>
      </c>
      <c r="F31" s="35" t="s">
        <v>134</v>
      </c>
      <c r="H31">
        <v>0</v>
      </c>
      <c r="I31">
        <f>I30+0+0+0</f>
        <v>20</v>
      </c>
    </row>
  </sheetData>
  <mergeCells count="18">
    <mergeCell ref="A1:F1"/>
    <mergeCell ref="A2:F2"/>
    <mergeCell ref="A3:C4"/>
    <mergeCell ref="D3:D4"/>
    <mergeCell ref="E3:E4"/>
    <mergeCell ref="F3:F4"/>
    <mergeCell ref="B9:B11"/>
    <mergeCell ref="B12:B23"/>
    <mergeCell ref="A5:A24"/>
    <mergeCell ref="A30:C30"/>
    <mergeCell ref="A31:C31"/>
    <mergeCell ref="B5:B8"/>
    <mergeCell ref="B24:C24"/>
    <mergeCell ref="A25:C25"/>
    <mergeCell ref="A26:C26"/>
    <mergeCell ref="A27:C27"/>
    <mergeCell ref="A28:C28"/>
    <mergeCell ref="A29:C29"/>
  </mergeCells>
  <phoneticPr fontId="1" type="noConversion"/>
  <conditionalFormatting sqref="A5:F31">
    <cfRule type="containsText" dxfId="15" priority="1" stopIfTrue="1" operator="containsText" text=".">
      <formula>NOT(ISERROR(SEARCH(".",A5)))</formula>
    </cfRule>
    <cfRule type="notContainsText" dxfId="14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12AF5-C7E6-4679-91E8-102A8061F7A6}">
  <sheetPr>
    <tabColor rgb="FFF19D86"/>
  </sheetPr>
  <dimension ref="A1:AX2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3" sqref="A3:A4"/>
    </sheetView>
  </sheetViews>
  <sheetFormatPr defaultRowHeight="16.5" x14ac:dyDescent="0.3"/>
  <cols>
    <col min="1" max="1" width="41.625" style="1" customWidth="1"/>
    <col min="2" max="3" width="4.625" style="2" customWidth="1"/>
    <col min="4" max="4" width="7.625" style="3" customWidth="1"/>
    <col min="5" max="5" width="9.625" style="3" customWidth="1"/>
    <col min="6" max="6" width="7.625" style="3" customWidth="1"/>
    <col min="7" max="7" width="9.625" style="3" customWidth="1"/>
    <col min="8" max="8" width="7.625" style="3" customWidth="1"/>
    <col min="9" max="9" width="9.625" style="3" customWidth="1"/>
    <col min="10" max="10" width="7.625" style="3" customWidth="1"/>
    <col min="11" max="11" width="9.625" style="3" customWidth="1"/>
    <col min="12" max="12" width="6.625" style="1" customWidth="1"/>
    <col min="13" max="50" width="0" hidden="1" customWidth="1"/>
  </cols>
  <sheetData>
    <row r="1" spans="1:50" ht="30" customHeight="1" x14ac:dyDescent="0.3">
      <c r="A1" s="55" t="s">
        <v>275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50" ht="23.1" customHeight="1" x14ac:dyDescent="0.3">
      <c r="A2" s="56" t="s">
        <v>339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50" ht="23.1" customHeight="1" x14ac:dyDescent="0.3">
      <c r="A3" s="64" t="s">
        <v>224</v>
      </c>
      <c r="B3" s="64" t="s">
        <v>3</v>
      </c>
      <c r="C3" s="64" t="s">
        <v>151</v>
      </c>
      <c r="D3" s="64" t="s">
        <v>162</v>
      </c>
      <c r="E3" s="64"/>
      <c r="F3" s="64" t="s">
        <v>163</v>
      </c>
      <c r="G3" s="64"/>
      <c r="H3" s="64" t="s">
        <v>164</v>
      </c>
      <c r="I3" s="64"/>
      <c r="J3" s="64" t="s">
        <v>165</v>
      </c>
      <c r="K3" s="64"/>
      <c r="L3" s="64" t="s">
        <v>226</v>
      </c>
    </row>
    <row r="4" spans="1:50" ht="23.1" customHeight="1" x14ac:dyDescent="0.3">
      <c r="A4" s="64"/>
      <c r="B4" s="64"/>
      <c r="C4" s="64"/>
      <c r="D4" s="12" t="s">
        <v>123</v>
      </c>
      <c r="E4" s="12" t="s">
        <v>192</v>
      </c>
      <c r="F4" s="12" t="s">
        <v>123</v>
      </c>
      <c r="G4" s="12" t="s">
        <v>192</v>
      </c>
      <c r="H4" s="12" t="s">
        <v>123</v>
      </c>
      <c r="I4" s="12" t="s">
        <v>192</v>
      </c>
      <c r="J4" s="12" t="s">
        <v>123</v>
      </c>
      <c r="K4" s="12" t="s">
        <v>192</v>
      </c>
      <c r="L4" s="64"/>
      <c r="M4" t="s">
        <v>125</v>
      </c>
      <c r="N4" t="s">
        <v>126</v>
      </c>
      <c r="O4" t="s">
        <v>127</v>
      </c>
      <c r="P4" t="s">
        <v>128</v>
      </c>
      <c r="Q4" t="s">
        <v>137</v>
      </c>
      <c r="R4" t="s">
        <v>227</v>
      </c>
      <c r="S4" t="s">
        <v>228</v>
      </c>
      <c r="T4" t="s">
        <v>229</v>
      </c>
      <c r="U4" t="s">
        <v>230</v>
      </c>
      <c r="V4" t="s">
        <v>231</v>
      </c>
      <c r="W4" t="s">
        <v>232</v>
      </c>
      <c r="X4" t="s">
        <v>233</v>
      </c>
      <c r="Y4" t="s">
        <v>234</v>
      </c>
      <c r="Z4" t="s">
        <v>235</v>
      </c>
      <c r="AA4" t="s">
        <v>236</v>
      </c>
      <c r="AB4" t="s">
        <v>237</v>
      </c>
      <c r="AC4" t="s">
        <v>238</v>
      </c>
      <c r="AD4" t="s">
        <v>239</v>
      </c>
      <c r="AE4" t="s">
        <v>240</v>
      </c>
      <c r="AF4" t="s">
        <v>241</v>
      </c>
      <c r="AG4" t="s">
        <v>242</v>
      </c>
      <c r="AH4" t="s">
        <v>243</v>
      </c>
      <c r="AI4" t="s">
        <v>244</v>
      </c>
      <c r="AJ4" t="s">
        <v>245</v>
      </c>
      <c r="AK4" t="s">
        <v>246</v>
      </c>
      <c r="AL4" t="s">
        <v>247</v>
      </c>
      <c r="AM4" t="s">
        <v>248</v>
      </c>
      <c r="AN4" t="s">
        <v>249</v>
      </c>
      <c r="AO4" t="s">
        <v>250</v>
      </c>
      <c r="AP4" t="s">
        <v>251</v>
      </c>
      <c r="AQ4" t="s">
        <v>252</v>
      </c>
      <c r="AR4" t="s">
        <v>253</v>
      </c>
      <c r="AS4" t="s">
        <v>254</v>
      </c>
      <c r="AT4" t="s">
        <v>255</v>
      </c>
      <c r="AU4" t="s">
        <v>256</v>
      </c>
      <c r="AV4" t="s">
        <v>129</v>
      </c>
      <c r="AW4" t="s">
        <v>130</v>
      </c>
      <c r="AX4" t="s">
        <v>15</v>
      </c>
    </row>
    <row r="5" spans="1:50" ht="23.1" customHeight="1" x14ac:dyDescent="0.3">
      <c r="A5" s="14" t="s">
        <v>257</v>
      </c>
      <c r="B5" s="16" t="s">
        <v>141</v>
      </c>
      <c r="C5" s="22">
        <v>1</v>
      </c>
      <c r="D5" s="17">
        <f>내역서!F20</f>
        <v>0</v>
      </c>
      <c r="E5" s="17">
        <f>C5*D5</f>
        <v>0</v>
      </c>
      <c r="F5" s="17">
        <f>내역서!H20</f>
        <v>0</v>
      </c>
      <c r="G5" s="17">
        <f>C5*F5</f>
        <v>0</v>
      </c>
      <c r="H5" s="17">
        <f>내역서!J20</f>
        <v>0</v>
      </c>
      <c r="I5" s="17">
        <f>C5*H5</f>
        <v>0</v>
      </c>
      <c r="J5" s="17">
        <f t="shared" ref="J5:K8" si="0">D5+F5+H5</f>
        <v>0</v>
      </c>
      <c r="K5" s="17">
        <f t="shared" si="0"/>
        <v>0</v>
      </c>
      <c r="L5" s="15"/>
      <c r="P5">
        <v>1</v>
      </c>
      <c r="Q5">
        <f>C5*내역서!R20</f>
        <v>0</v>
      </c>
      <c r="R5">
        <f>C5*내역서!S20</f>
        <v>0</v>
      </c>
      <c r="S5">
        <f>C5*내역서!T20</f>
        <v>0</v>
      </c>
      <c r="T5">
        <f>C5*내역서!U20</f>
        <v>0</v>
      </c>
      <c r="U5">
        <f>C5*내역서!V20</f>
        <v>0</v>
      </c>
      <c r="V5">
        <f>C5*내역서!W20</f>
        <v>0</v>
      </c>
      <c r="W5">
        <f>C5*내역서!X20</f>
        <v>0</v>
      </c>
      <c r="X5">
        <f>C5*내역서!Y20</f>
        <v>0</v>
      </c>
      <c r="Y5">
        <f>C5*내역서!Z20</f>
        <v>0</v>
      </c>
      <c r="Z5">
        <f>C5*내역서!AA20</f>
        <v>0</v>
      </c>
      <c r="AA5">
        <f>C5*내역서!AB20</f>
        <v>0</v>
      </c>
      <c r="AB5">
        <f>C5*내역서!AC20</f>
        <v>0</v>
      </c>
      <c r="AC5">
        <f>C5*내역서!AD20</f>
        <v>0</v>
      </c>
      <c r="AD5">
        <f>C5*내역서!AE20</f>
        <v>0</v>
      </c>
      <c r="AE5">
        <f>C5*내역서!AF20</f>
        <v>0</v>
      </c>
      <c r="AF5">
        <f>C5*내역서!AG20</f>
        <v>0</v>
      </c>
      <c r="AG5">
        <f>C5*내역서!AH20</f>
        <v>0</v>
      </c>
      <c r="AH5">
        <f>C5*내역서!AI20</f>
        <v>0</v>
      </c>
      <c r="AI5">
        <f>C5*내역서!AJ20</f>
        <v>0</v>
      </c>
      <c r="AJ5">
        <f>C5*내역서!AK20</f>
        <v>0</v>
      </c>
      <c r="AK5">
        <f>C5*내역서!AL20</f>
        <v>0</v>
      </c>
      <c r="AL5">
        <f>C5*내역서!AM20</f>
        <v>0</v>
      </c>
      <c r="AM5">
        <f>C5*내역서!AN20</f>
        <v>0</v>
      </c>
      <c r="AN5">
        <f>C5*내역서!AO20</f>
        <v>0</v>
      </c>
      <c r="AO5">
        <f>C5*내역서!AP20</f>
        <v>0</v>
      </c>
      <c r="AP5">
        <f>C5*내역서!AQ20</f>
        <v>0</v>
      </c>
      <c r="AQ5">
        <f>C5*내역서!AR20</f>
        <v>0</v>
      </c>
      <c r="AR5">
        <f>C5*내역서!AS20</f>
        <v>0</v>
      </c>
      <c r="AS5">
        <f>C5*내역서!AT20</f>
        <v>0</v>
      </c>
      <c r="AT5">
        <f>C5*내역서!AU20</f>
        <v>0</v>
      </c>
      <c r="AU5">
        <f>C5*내역서!AV20</f>
        <v>0</v>
      </c>
    </row>
    <row r="6" spans="1:50" ht="23.1" customHeight="1" x14ac:dyDescent="0.3">
      <c r="A6" s="14" t="s">
        <v>258</v>
      </c>
      <c r="B6" s="16" t="s">
        <v>141</v>
      </c>
      <c r="C6" s="22">
        <v>1</v>
      </c>
      <c r="D6" s="17">
        <f>내역서!F68</f>
        <v>0</v>
      </c>
      <c r="E6" s="17">
        <f>C6*D6</f>
        <v>0</v>
      </c>
      <c r="F6" s="17">
        <f>내역서!H68</f>
        <v>0</v>
      </c>
      <c r="G6" s="17">
        <f>C6*F6</f>
        <v>0</v>
      </c>
      <c r="H6" s="17">
        <f>내역서!J68</f>
        <v>0</v>
      </c>
      <c r="I6" s="17">
        <f>C6*H6</f>
        <v>0</v>
      </c>
      <c r="J6" s="17">
        <f t="shared" si="0"/>
        <v>0</v>
      </c>
      <c r="K6" s="17">
        <f t="shared" si="0"/>
        <v>0</v>
      </c>
      <c r="L6" s="15"/>
      <c r="P6">
        <v>1</v>
      </c>
      <c r="Q6">
        <f>C6*내역서!R68</f>
        <v>0</v>
      </c>
      <c r="R6">
        <f>C6*내역서!S68</f>
        <v>0</v>
      </c>
      <c r="S6">
        <f>C6*내역서!T68</f>
        <v>0</v>
      </c>
      <c r="T6">
        <f>C6*내역서!U68</f>
        <v>0</v>
      </c>
      <c r="U6">
        <f>C6*내역서!V68</f>
        <v>0</v>
      </c>
      <c r="V6">
        <f>C6*내역서!W68</f>
        <v>0</v>
      </c>
      <c r="W6">
        <f>C6*내역서!X68</f>
        <v>0</v>
      </c>
      <c r="X6">
        <f>C6*내역서!Y68</f>
        <v>0</v>
      </c>
      <c r="Y6">
        <f>C6*내역서!Z68</f>
        <v>0</v>
      </c>
      <c r="Z6">
        <f>C6*내역서!AA68</f>
        <v>0</v>
      </c>
      <c r="AA6">
        <f>C6*내역서!AB68</f>
        <v>0</v>
      </c>
      <c r="AB6">
        <f>C6*내역서!AC68</f>
        <v>0</v>
      </c>
      <c r="AC6">
        <f>C6*내역서!AD68</f>
        <v>0</v>
      </c>
      <c r="AD6">
        <f>C6*내역서!AE68</f>
        <v>0</v>
      </c>
      <c r="AE6">
        <f>C6*내역서!AF68</f>
        <v>0</v>
      </c>
      <c r="AF6">
        <f>C6*내역서!AG68</f>
        <v>0</v>
      </c>
      <c r="AG6">
        <f>C6*내역서!AH68</f>
        <v>0</v>
      </c>
      <c r="AH6">
        <f>C6*내역서!AI68</f>
        <v>0</v>
      </c>
      <c r="AI6">
        <f>C6*내역서!AJ68</f>
        <v>0</v>
      </c>
      <c r="AJ6">
        <f>C6*내역서!AK68</f>
        <v>0</v>
      </c>
      <c r="AK6">
        <f>C6*내역서!AL68</f>
        <v>0</v>
      </c>
      <c r="AL6">
        <f>C6*내역서!AM68</f>
        <v>0</v>
      </c>
      <c r="AM6">
        <f>C6*내역서!AN68</f>
        <v>0</v>
      </c>
      <c r="AN6">
        <f>C6*내역서!AO68</f>
        <v>0</v>
      </c>
      <c r="AO6">
        <f>C6*내역서!AP68</f>
        <v>0</v>
      </c>
      <c r="AP6">
        <f>C6*내역서!AQ68</f>
        <v>0</v>
      </c>
      <c r="AQ6">
        <f>C6*내역서!AR68</f>
        <v>0</v>
      </c>
      <c r="AR6">
        <f>C6*내역서!AS68</f>
        <v>0</v>
      </c>
      <c r="AS6">
        <f>C6*내역서!AT68</f>
        <v>0</v>
      </c>
      <c r="AT6">
        <f>C6*내역서!AU68</f>
        <v>0</v>
      </c>
      <c r="AU6">
        <f>C6*내역서!AV68</f>
        <v>0</v>
      </c>
    </row>
    <row r="7" spans="1:50" ht="23.1" customHeight="1" x14ac:dyDescent="0.3">
      <c r="A7" s="14" t="s">
        <v>273</v>
      </c>
      <c r="B7" s="16" t="s">
        <v>141</v>
      </c>
      <c r="C7" s="22">
        <v>1</v>
      </c>
      <c r="D7" s="17">
        <f>내역서!F84</f>
        <v>0</v>
      </c>
      <c r="E7" s="17">
        <f>C7*D7</f>
        <v>0</v>
      </c>
      <c r="F7" s="17">
        <f>내역서!H84</f>
        <v>0</v>
      </c>
      <c r="G7" s="17">
        <f>C7*F7</f>
        <v>0</v>
      </c>
      <c r="H7" s="17">
        <f>내역서!J84</f>
        <v>0</v>
      </c>
      <c r="I7" s="17">
        <f>C7*H7</f>
        <v>0</v>
      </c>
      <c r="J7" s="17">
        <f t="shared" si="0"/>
        <v>0</v>
      </c>
      <c r="K7" s="17">
        <f t="shared" si="0"/>
        <v>0</v>
      </c>
      <c r="L7" s="15"/>
      <c r="P7">
        <v>1</v>
      </c>
      <c r="Q7">
        <f>C7*내역서!R84</f>
        <v>0</v>
      </c>
      <c r="R7">
        <f>C7*내역서!S84</f>
        <v>0</v>
      </c>
      <c r="S7">
        <f>C7*내역서!T84</f>
        <v>0</v>
      </c>
      <c r="T7">
        <f>C7*내역서!U84</f>
        <v>0</v>
      </c>
      <c r="U7">
        <f>C7*내역서!V84</f>
        <v>0</v>
      </c>
      <c r="V7">
        <f>C7*내역서!W84</f>
        <v>0</v>
      </c>
      <c r="W7">
        <f>C7*내역서!X84</f>
        <v>0</v>
      </c>
      <c r="X7">
        <f>C7*내역서!Y84</f>
        <v>0</v>
      </c>
      <c r="Y7">
        <f>C7*내역서!Z84</f>
        <v>0</v>
      </c>
      <c r="Z7">
        <f>C7*내역서!AA84</f>
        <v>0</v>
      </c>
      <c r="AA7">
        <f>C7*내역서!AB84</f>
        <v>0</v>
      </c>
      <c r="AB7">
        <f>C7*내역서!AC84</f>
        <v>0</v>
      </c>
      <c r="AC7">
        <f>C7*내역서!AD84</f>
        <v>0</v>
      </c>
      <c r="AD7">
        <f>C7*내역서!AE84</f>
        <v>0</v>
      </c>
      <c r="AE7">
        <f>C7*내역서!AF84</f>
        <v>0</v>
      </c>
      <c r="AF7">
        <f>C7*내역서!AG84</f>
        <v>0</v>
      </c>
      <c r="AG7">
        <f>C7*내역서!AH84</f>
        <v>0</v>
      </c>
      <c r="AH7">
        <f>C7*내역서!AI84</f>
        <v>0</v>
      </c>
      <c r="AI7">
        <f>C7*내역서!AJ84</f>
        <v>0</v>
      </c>
      <c r="AJ7">
        <f>C7*내역서!AK84</f>
        <v>0</v>
      </c>
      <c r="AK7">
        <f>C7*내역서!AL84</f>
        <v>0</v>
      </c>
      <c r="AL7">
        <f>C7*내역서!AM84</f>
        <v>0</v>
      </c>
      <c r="AM7">
        <f>C7*내역서!AN84</f>
        <v>0</v>
      </c>
      <c r="AN7">
        <f>C7*내역서!AO84</f>
        <v>0</v>
      </c>
      <c r="AO7">
        <f>C7*내역서!AP84</f>
        <v>0</v>
      </c>
      <c r="AP7">
        <f>C7*내역서!AQ84</f>
        <v>0</v>
      </c>
      <c r="AQ7">
        <f>C7*내역서!AR84</f>
        <v>0</v>
      </c>
      <c r="AR7">
        <f>C7*내역서!AS84</f>
        <v>0</v>
      </c>
      <c r="AS7">
        <f>C7*내역서!AT84</f>
        <v>0</v>
      </c>
      <c r="AT7">
        <f>C7*내역서!AU84</f>
        <v>0</v>
      </c>
      <c r="AU7">
        <f>C7*내역서!AV84</f>
        <v>0</v>
      </c>
    </row>
    <row r="8" spans="1:50" ht="23.1" customHeight="1" x14ac:dyDescent="0.3">
      <c r="A8" s="14" t="s">
        <v>274</v>
      </c>
      <c r="B8" s="16" t="s">
        <v>141</v>
      </c>
      <c r="C8" s="22">
        <v>1</v>
      </c>
      <c r="D8" s="17">
        <f>내역서!F100</f>
        <v>0</v>
      </c>
      <c r="E8" s="17">
        <f>C8*D8</f>
        <v>0</v>
      </c>
      <c r="F8" s="17">
        <f>내역서!H100</f>
        <v>0</v>
      </c>
      <c r="G8" s="17">
        <f>C8*F8</f>
        <v>0</v>
      </c>
      <c r="H8" s="17">
        <f>내역서!J100</f>
        <v>0</v>
      </c>
      <c r="I8" s="17">
        <f>C8*H8</f>
        <v>0</v>
      </c>
      <c r="J8" s="17">
        <f t="shared" si="0"/>
        <v>0</v>
      </c>
      <c r="K8" s="17">
        <f t="shared" si="0"/>
        <v>0</v>
      </c>
      <c r="L8" s="15"/>
      <c r="P8">
        <v>1</v>
      </c>
      <c r="Q8">
        <f>C8*내역서!R100</f>
        <v>0</v>
      </c>
      <c r="R8">
        <f>C8*내역서!S100</f>
        <v>0</v>
      </c>
      <c r="S8">
        <f>C8*내역서!T100</f>
        <v>0</v>
      </c>
      <c r="T8">
        <f>C8*내역서!U100</f>
        <v>0</v>
      </c>
      <c r="U8">
        <f>C8*내역서!V100</f>
        <v>0</v>
      </c>
      <c r="V8">
        <f>C8*내역서!W100</f>
        <v>0</v>
      </c>
      <c r="W8">
        <f>C8*내역서!X100</f>
        <v>0</v>
      </c>
      <c r="X8">
        <f>C8*내역서!Y100</f>
        <v>0</v>
      </c>
      <c r="Y8">
        <f>C8*내역서!Z100</f>
        <v>0</v>
      </c>
      <c r="Z8">
        <f>C8*내역서!AA100</f>
        <v>0</v>
      </c>
      <c r="AA8">
        <f>C8*내역서!AB100</f>
        <v>0</v>
      </c>
      <c r="AB8">
        <f>C8*내역서!AC100</f>
        <v>0</v>
      </c>
      <c r="AC8">
        <f>C8*내역서!AD100</f>
        <v>0</v>
      </c>
      <c r="AD8">
        <f>C8*내역서!AE100</f>
        <v>0</v>
      </c>
      <c r="AE8">
        <f>C8*내역서!AF100</f>
        <v>0</v>
      </c>
      <c r="AF8">
        <f>C8*내역서!AG100</f>
        <v>0</v>
      </c>
      <c r="AG8">
        <f>C8*내역서!AH100</f>
        <v>0</v>
      </c>
      <c r="AH8">
        <f>C8*내역서!AI100</f>
        <v>0</v>
      </c>
      <c r="AI8">
        <f>C8*내역서!AJ100</f>
        <v>0</v>
      </c>
      <c r="AJ8">
        <f>C8*내역서!AK100</f>
        <v>0</v>
      </c>
      <c r="AK8">
        <f>C8*내역서!AL100</f>
        <v>0</v>
      </c>
      <c r="AL8">
        <f>C8*내역서!AM100</f>
        <v>0</v>
      </c>
      <c r="AM8">
        <f>C8*내역서!AN100</f>
        <v>0</v>
      </c>
      <c r="AN8">
        <f>C8*내역서!AO100</f>
        <v>0</v>
      </c>
      <c r="AO8">
        <f>C8*내역서!AP100</f>
        <v>0</v>
      </c>
      <c r="AP8">
        <f>C8*내역서!AQ100</f>
        <v>0</v>
      </c>
      <c r="AQ8">
        <f>C8*내역서!AR100</f>
        <v>0</v>
      </c>
      <c r="AR8">
        <f>C8*내역서!AS100</f>
        <v>0</v>
      </c>
      <c r="AS8">
        <f>C8*내역서!AT100</f>
        <v>0</v>
      </c>
      <c r="AT8">
        <f>C8*내역서!AU100</f>
        <v>0</v>
      </c>
      <c r="AU8">
        <f>C8*내역서!AV100</f>
        <v>0</v>
      </c>
    </row>
    <row r="9" spans="1:50" ht="23.1" customHeight="1" x14ac:dyDescent="0.3">
      <c r="A9" s="15"/>
      <c r="B9" s="22"/>
      <c r="C9" s="22"/>
      <c r="D9" s="17"/>
      <c r="E9" s="17"/>
      <c r="F9" s="17"/>
      <c r="G9" s="17"/>
      <c r="H9" s="17"/>
      <c r="I9" s="17"/>
      <c r="J9" s="17"/>
      <c r="K9" s="17"/>
      <c r="L9" s="15"/>
    </row>
    <row r="10" spans="1:50" ht="23.1" customHeight="1" x14ac:dyDescent="0.3">
      <c r="A10" s="15"/>
      <c r="B10" s="22"/>
      <c r="C10" s="22"/>
      <c r="D10" s="17"/>
      <c r="E10" s="17"/>
      <c r="F10" s="17"/>
      <c r="G10" s="17"/>
      <c r="H10" s="17"/>
      <c r="I10" s="17"/>
      <c r="J10" s="17"/>
      <c r="K10" s="17"/>
      <c r="L10" s="15"/>
    </row>
    <row r="11" spans="1:50" ht="23.1" customHeight="1" x14ac:dyDescent="0.3">
      <c r="A11" s="15"/>
      <c r="B11" s="22"/>
      <c r="C11" s="22"/>
      <c r="D11" s="17"/>
      <c r="E11" s="17"/>
      <c r="F11" s="17"/>
      <c r="G11" s="17"/>
      <c r="H11" s="17"/>
      <c r="I11" s="17"/>
      <c r="J11" s="17"/>
      <c r="K11" s="17"/>
      <c r="L11" s="15"/>
    </row>
    <row r="12" spans="1:50" ht="23.1" customHeight="1" x14ac:dyDescent="0.3">
      <c r="A12" s="15"/>
      <c r="B12" s="22"/>
      <c r="C12" s="22"/>
      <c r="D12" s="17"/>
      <c r="E12" s="17"/>
      <c r="F12" s="17"/>
      <c r="G12" s="17"/>
      <c r="H12" s="17"/>
      <c r="I12" s="17"/>
      <c r="J12" s="17"/>
      <c r="K12" s="17"/>
      <c r="L12" s="15"/>
    </row>
    <row r="13" spans="1:50" ht="23.1" customHeight="1" x14ac:dyDescent="0.3">
      <c r="A13" s="15"/>
      <c r="B13" s="22"/>
      <c r="C13" s="22"/>
      <c r="D13" s="17"/>
      <c r="E13" s="17"/>
      <c r="F13" s="17"/>
      <c r="G13" s="17"/>
      <c r="H13" s="17"/>
      <c r="I13" s="17"/>
      <c r="J13" s="17"/>
      <c r="K13" s="17"/>
      <c r="L13" s="15"/>
    </row>
    <row r="14" spans="1:50" ht="23.1" customHeight="1" x14ac:dyDescent="0.3">
      <c r="A14" s="15"/>
      <c r="B14" s="22"/>
      <c r="C14" s="22"/>
      <c r="D14" s="17"/>
      <c r="E14" s="17"/>
      <c r="F14" s="17"/>
      <c r="G14" s="17"/>
      <c r="H14" s="17"/>
      <c r="I14" s="17"/>
      <c r="J14" s="17"/>
      <c r="K14" s="17"/>
      <c r="L14" s="15"/>
    </row>
    <row r="15" spans="1:50" ht="23.1" customHeight="1" x14ac:dyDescent="0.3">
      <c r="A15" s="15"/>
      <c r="B15" s="22"/>
      <c r="C15" s="22"/>
      <c r="D15" s="17"/>
      <c r="E15" s="17"/>
      <c r="F15" s="17"/>
      <c r="G15" s="17"/>
      <c r="H15" s="17"/>
      <c r="I15" s="17"/>
      <c r="J15" s="17"/>
      <c r="K15" s="17"/>
      <c r="L15" s="15"/>
    </row>
    <row r="16" spans="1:50" ht="23.1" customHeight="1" x14ac:dyDescent="0.3">
      <c r="A16" s="15"/>
      <c r="B16" s="22"/>
      <c r="C16" s="22"/>
      <c r="D16" s="17"/>
      <c r="E16" s="17"/>
      <c r="F16" s="17"/>
      <c r="G16" s="17"/>
      <c r="H16" s="17"/>
      <c r="I16" s="17"/>
      <c r="J16" s="17"/>
      <c r="K16" s="17"/>
      <c r="L16" s="15"/>
    </row>
    <row r="17" spans="1:50" ht="23.1" customHeight="1" x14ac:dyDescent="0.3">
      <c r="A17" s="15"/>
      <c r="B17" s="22"/>
      <c r="C17" s="22"/>
      <c r="D17" s="17"/>
      <c r="E17" s="17"/>
      <c r="F17" s="17"/>
      <c r="G17" s="17"/>
      <c r="H17" s="17"/>
      <c r="I17" s="17"/>
      <c r="J17" s="17"/>
      <c r="K17" s="17"/>
      <c r="L17" s="15"/>
    </row>
    <row r="18" spans="1:50" ht="23.1" customHeight="1" x14ac:dyDescent="0.3">
      <c r="A18" s="15"/>
      <c r="B18" s="22"/>
      <c r="C18" s="22"/>
      <c r="D18" s="17"/>
      <c r="E18" s="17"/>
      <c r="F18" s="17"/>
      <c r="G18" s="17"/>
      <c r="H18" s="17"/>
      <c r="I18" s="17"/>
      <c r="J18" s="17"/>
      <c r="K18" s="17"/>
      <c r="L18" s="15"/>
    </row>
    <row r="19" spans="1:50" ht="23.1" customHeight="1" x14ac:dyDescent="0.3">
      <c r="A19" s="15"/>
      <c r="B19" s="22"/>
      <c r="C19" s="22"/>
      <c r="D19" s="17"/>
      <c r="E19" s="17"/>
      <c r="F19" s="17"/>
      <c r="G19" s="17"/>
      <c r="H19" s="17"/>
      <c r="I19" s="17"/>
      <c r="J19" s="17"/>
      <c r="K19" s="17"/>
      <c r="L19" s="15"/>
    </row>
    <row r="20" spans="1:50" ht="23.1" customHeight="1" x14ac:dyDescent="0.3">
      <c r="A20" s="18" t="s">
        <v>148</v>
      </c>
      <c r="B20" s="20"/>
      <c r="C20" s="20"/>
      <c r="D20" s="21"/>
      <c r="E20" s="21">
        <f>SUMIF(P5:P8, "1", E5:E8)</f>
        <v>0</v>
      </c>
      <c r="F20" s="21"/>
      <c r="G20" s="21">
        <f>SUMIF(P5:P8, "1", G5:G8)</f>
        <v>0</v>
      </c>
      <c r="H20" s="21"/>
      <c r="I20" s="21">
        <f>SUMIF(P5:P8, "1", I5:I8)</f>
        <v>0</v>
      </c>
      <c r="J20" s="21"/>
      <c r="K20" s="21">
        <f>E20+G20+I20</f>
        <v>0</v>
      </c>
      <c r="L20" s="19"/>
      <c r="Q20">
        <f t="shared" ref="Q20:AX20" si="1">SUM(Q5:Q8)</f>
        <v>0</v>
      </c>
      <c r="R20">
        <f t="shared" si="1"/>
        <v>0</v>
      </c>
      <c r="S20">
        <f t="shared" si="1"/>
        <v>0</v>
      </c>
      <c r="T20">
        <f t="shared" si="1"/>
        <v>0</v>
      </c>
      <c r="U20">
        <f t="shared" si="1"/>
        <v>0</v>
      </c>
      <c r="V20">
        <f t="shared" si="1"/>
        <v>0</v>
      </c>
      <c r="W20">
        <f t="shared" si="1"/>
        <v>0</v>
      </c>
      <c r="X20">
        <f t="shared" si="1"/>
        <v>0</v>
      </c>
      <c r="Y20">
        <f t="shared" si="1"/>
        <v>0</v>
      </c>
      <c r="Z20">
        <f t="shared" si="1"/>
        <v>0</v>
      </c>
      <c r="AA20">
        <f t="shared" si="1"/>
        <v>0</v>
      </c>
      <c r="AB20">
        <f t="shared" si="1"/>
        <v>0</v>
      </c>
      <c r="AC20">
        <f t="shared" si="1"/>
        <v>0</v>
      </c>
      <c r="AD20">
        <f t="shared" si="1"/>
        <v>0</v>
      </c>
      <c r="AE20">
        <f t="shared" si="1"/>
        <v>0</v>
      </c>
      <c r="AF20">
        <f t="shared" si="1"/>
        <v>0</v>
      </c>
      <c r="AG20">
        <f t="shared" si="1"/>
        <v>0</v>
      </c>
      <c r="AH20">
        <f t="shared" si="1"/>
        <v>0</v>
      </c>
      <c r="AI20">
        <f t="shared" si="1"/>
        <v>0</v>
      </c>
      <c r="AJ20">
        <f t="shared" si="1"/>
        <v>0</v>
      </c>
      <c r="AK20">
        <f t="shared" si="1"/>
        <v>0</v>
      </c>
      <c r="AL20">
        <f t="shared" si="1"/>
        <v>0</v>
      </c>
      <c r="AM20">
        <f t="shared" si="1"/>
        <v>0</v>
      </c>
      <c r="AN20">
        <f t="shared" si="1"/>
        <v>0</v>
      </c>
      <c r="AO20">
        <f t="shared" si="1"/>
        <v>0</v>
      </c>
      <c r="AP20">
        <f t="shared" si="1"/>
        <v>0</v>
      </c>
      <c r="AQ20">
        <f t="shared" si="1"/>
        <v>0</v>
      </c>
      <c r="AR20">
        <f t="shared" si="1"/>
        <v>0</v>
      </c>
      <c r="AS20">
        <f t="shared" si="1"/>
        <v>0</v>
      </c>
      <c r="AT20">
        <f t="shared" si="1"/>
        <v>0</v>
      </c>
      <c r="AU20">
        <f t="shared" si="1"/>
        <v>0</v>
      </c>
      <c r="AV20">
        <f t="shared" si="1"/>
        <v>0</v>
      </c>
      <c r="AW20">
        <f t="shared" si="1"/>
        <v>0</v>
      </c>
      <c r="AX20">
        <f t="shared" si="1"/>
        <v>0</v>
      </c>
    </row>
  </sheetData>
  <mergeCells count="10">
    <mergeCell ref="A1:L1"/>
    <mergeCell ref="A2:L2"/>
    <mergeCell ref="A3:A4"/>
    <mergeCell ref="B3:B4"/>
    <mergeCell ref="C3:C4"/>
    <mergeCell ref="L3:L4"/>
    <mergeCell ref="D3:E3"/>
    <mergeCell ref="F3:G3"/>
    <mergeCell ref="H3:I3"/>
    <mergeCell ref="J3:K3"/>
  </mergeCells>
  <phoneticPr fontId="1" type="noConversion"/>
  <conditionalFormatting sqref="A5:L20">
    <cfRule type="containsText" dxfId="13" priority="1" stopIfTrue="1" operator="containsText" text=".">
      <formula>NOT(ISERROR(SEARCH(".",A5)))</formula>
    </cfRule>
    <cfRule type="notContainsText" dxfId="12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70B3-8800-4EBF-8D46-6DD58E255AEF}">
  <sheetPr>
    <tabColor rgb="FFFFFFB7"/>
  </sheetPr>
  <dimension ref="A1:AY100"/>
  <sheetViews>
    <sheetView zoomScale="115" zoomScaleNormal="115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H14" sqref="H14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3" customWidth="1"/>
    <col min="14" max="51" width="0" hidden="1" customWidth="1"/>
  </cols>
  <sheetData>
    <row r="1" spans="1:51" ht="30" customHeight="1" x14ac:dyDescent="0.3">
      <c r="A1" s="55" t="s">
        <v>223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51" ht="23.1" customHeight="1" x14ac:dyDescent="0.3">
      <c r="A2" s="56" t="s">
        <v>339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51" ht="23.1" customHeight="1" x14ac:dyDescent="0.3">
      <c r="A3" s="64" t="s">
        <v>224</v>
      </c>
      <c r="B3" s="64" t="s">
        <v>225</v>
      </c>
      <c r="C3" s="64" t="s">
        <v>3</v>
      </c>
      <c r="D3" s="64" t="s">
        <v>117</v>
      </c>
      <c r="E3" s="64" t="s">
        <v>162</v>
      </c>
      <c r="F3" s="64"/>
      <c r="G3" s="64" t="s">
        <v>163</v>
      </c>
      <c r="H3" s="64"/>
      <c r="I3" s="64" t="s">
        <v>164</v>
      </c>
      <c r="J3" s="64"/>
      <c r="K3" s="64" t="s">
        <v>165</v>
      </c>
      <c r="L3" s="64"/>
      <c r="M3" s="64" t="s">
        <v>226</v>
      </c>
    </row>
    <row r="4" spans="1:51" ht="23.1" customHeight="1" x14ac:dyDescent="0.3">
      <c r="A4" s="64"/>
      <c r="B4" s="64"/>
      <c r="C4" s="64"/>
      <c r="D4" s="64"/>
      <c r="E4" s="12" t="s">
        <v>123</v>
      </c>
      <c r="F4" s="12" t="s">
        <v>124</v>
      </c>
      <c r="G4" s="12" t="s">
        <v>123</v>
      </c>
      <c r="H4" s="12" t="s">
        <v>124</v>
      </c>
      <c r="I4" s="12" t="s">
        <v>123</v>
      </c>
      <c r="J4" s="12" t="s">
        <v>124</v>
      </c>
      <c r="K4" s="12" t="s">
        <v>123</v>
      </c>
      <c r="L4" s="12" t="s">
        <v>124</v>
      </c>
      <c r="M4" s="64"/>
      <c r="N4" t="s">
        <v>125</v>
      </c>
      <c r="O4" t="s">
        <v>126</v>
      </c>
      <c r="P4" t="s">
        <v>127</v>
      </c>
      <c r="Q4" t="s">
        <v>128</v>
      </c>
      <c r="R4" t="s">
        <v>137</v>
      </c>
      <c r="S4" t="s">
        <v>227</v>
      </c>
      <c r="T4" t="s">
        <v>228</v>
      </c>
      <c r="U4" t="s">
        <v>229</v>
      </c>
      <c r="V4" t="s">
        <v>230</v>
      </c>
      <c r="W4" t="s">
        <v>231</v>
      </c>
      <c r="X4" t="s">
        <v>232</v>
      </c>
      <c r="Y4" t="s">
        <v>233</v>
      </c>
      <c r="Z4" t="s">
        <v>234</v>
      </c>
      <c r="AA4" t="s">
        <v>235</v>
      </c>
      <c r="AB4" t="s">
        <v>236</v>
      </c>
      <c r="AC4" t="s">
        <v>237</v>
      </c>
      <c r="AD4" t="s">
        <v>238</v>
      </c>
      <c r="AE4" t="s">
        <v>239</v>
      </c>
      <c r="AF4" t="s">
        <v>240</v>
      </c>
      <c r="AG4" t="s">
        <v>241</v>
      </c>
      <c r="AH4" t="s">
        <v>242</v>
      </c>
      <c r="AI4" t="s">
        <v>243</v>
      </c>
      <c r="AJ4" t="s">
        <v>244</v>
      </c>
      <c r="AK4" t="s">
        <v>245</v>
      </c>
      <c r="AL4" t="s">
        <v>246</v>
      </c>
      <c r="AM4" t="s">
        <v>247</v>
      </c>
      <c r="AN4" t="s">
        <v>248</v>
      </c>
      <c r="AO4" t="s">
        <v>249</v>
      </c>
      <c r="AP4" t="s">
        <v>250</v>
      </c>
      <c r="AQ4" t="s">
        <v>251</v>
      </c>
      <c r="AR4" t="s">
        <v>252</v>
      </c>
      <c r="AS4" t="s">
        <v>253</v>
      </c>
      <c r="AT4" t="s">
        <v>254</v>
      </c>
      <c r="AU4" t="s">
        <v>255</v>
      </c>
      <c r="AV4" t="s">
        <v>256</v>
      </c>
      <c r="AW4" t="s">
        <v>129</v>
      </c>
      <c r="AX4" t="s">
        <v>130</v>
      </c>
      <c r="AY4" t="s">
        <v>15</v>
      </c>
    </row>
    <row r="5" spans="1:51" ht="23.1" customHeight="1" x14ac:dyDescent="0.3">
      <c r="A5" s="65" t="s">
        <v>257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7"/>
    </row>
    <row r="6" spans="1:51" ht="23.1" customHeight="1" x14ac:dyDescent="0.3">
      <c r="A6" s="14" t="s">
        <v>194</v>
      </c>
      <c r="B6" s="14" t="s">
        <v>195</v>
      </c>
      <c r="C6" s="16" t="s">
        <v>24</v>
      </c>
      <c r="D6" s="17">
        <v>7</v>
      </c>
      <c r="E6" s="17"/>
      <c r="F6" s="17"/>
      <c r="G6" s="17"/>
      <c r="H6" s="17"/>
      <c r="I6" s="17"/>
      <c r="J6" s="17"/>
      <c r="K6" s="17"/>
      <c r="L6" s="17"/>
      <c r="M6" s="24"/>
      <c r="O6" t="str">
        <f>""</f>
        <v/>
      </c>
      <c r="P6" s="11" t="s">
        <v>137</v>
      </c>
      <c r="Q6">
        <v>1</v>
      </c>
      <c r="R6">
        <f>IF(P6="기계경비", J6, 0)</f>
        <v>0</v>
      </c>
      <c r="S6">
        <f>IF(P6="운반비", L6, 0)</f>
        <v>0</v>
      </c>
      <c r="T6">
        <f>IF(P6="작업부산물", F6, 0)</f>
        <v>0</v>
      </c>
      <c r="U6">
        <f>IF(P6="관급", F6, 0)</f>
        <v>0</v>
      </c>
      <c r="V6">
        <f>IF(P6="외주비", J6, 0)</f>
        <v>0</v>
      </c>
      <c r="W6">
        <f>IF(P6="장비비", J6, 0)</f>
        <v>0</v>
      </c>
      <c r="X6">
        <f>IF(P6="폐기물처리비", L6, 0)</f>
        <v>0</v>
      </c>
      <c r="Y6">
        <f>IF(P6="가설비", J6, 0)</f>
        <v>0</v>
      </c>
      <c r="Z6">
        <f>IF(P6="잡비제외분", F6, 0)</f>
        <v>0</v>
      </c>
      <c r="AA6">
        <f>IF(P6="사급자재대", L6, 0)</f>
        <v>0</v>
      </c>
      <c r="AB6">
        <f>IF(P6="관급자재대", L6, 0)</f>
        <v>0</v>
      </c>
      <c r="AC6">
        <f>IF(P6="사용자항목1", L6, 0)</f>
        <v>0</v>
      </c>
      <c r="AD6">
        <f>IF(P6="사용자항목2", L6, 0)</f>
        <v>0</v>
      </c>
      <c r="AE6">
        <f>IF(P6="안전관리비", L6, 0)</f>
        <v>0</v>
      </c>
      <c r="AF6">
        <f>IF(P6="품질관리비", L6, 0)</f>
        <v>0</v>
      </c>
      <c r="AG6">
        <f>IF(P6="작업부산물(철거해체)", L6, 0)</f>
        <v>0</v>
      </c>
      <c r="AH6">
        <f>IF(P6="사용자항목6", L6, 0)</f>
        <v>0</v>
      </c>
      <c r="AI6">
        <f>IF(P6="사용자항목7", L6, 0)</f>
        <v>0</v>
      </c>
      <c r="AJ6">
        <f>IF(P6="사용자항목8", L6, 0)</f>
        <v>0</v>
      </c>
      <c r="AK6">
        <f>IF(P6="사용자항목9", L6, 0)</f>
        <v>0</v>
      </c>
      <c r="AL6">
        <f>IF(P6="사용자항목10", L6, 0)</f>
        <v>0</v>
      </c>
      <c r="AM6">
        <f>IF(P6="사용자항목11", L6, 0)</f>
        <v>0</v>
      </c>
      <c r="AN6">
        <f>IF(P6="사용자항목12", L6, 0)</f>
        <v>0</v>
      </c>
      <c r="AO6">
        <f>IF(P6="사용자항목13", L6, 0)</f>
        <v>0</v>
      </c>
      <c r="AP6">
        <f>IF(P6="사용자항목14", L6, 0)</f>
        <v>0</v>
      </c>
      <c r="AQ6">
        <f>IF(P6="사용자항목15", L6, 0)</f>
        <v>0</v>
      </c>
      <c r="AR6">
        <f>IF(P6="사용자항목16", L6, 0)</f>
        <v>0</v>
      </c>
      <c r="AS6">
        <f>IF(P6="사용자항목17", L6, 0)</f>
        <v>0</v>
      </c>
      <c r="AT6">
        <f>IF(P6="사용자항목18", L6, 0)</f>
        <v>0</v>
      </c>
      <c r="AU6">
        <f>IF(P6="사용자항목19", L6, 0)</f>
        <v>0</v>
      </c>
    </row>
    <row r="7" spans="1:51" ht="23.1" customHeight="1" x14ac:dyDescent="0.3">
      <c r="A7" s="14" t="s">
        <v>194</v>
      </c>
      <c r="B7" s="14" t="s">
        <v>197</v>
      </c>
      <c r="C7" s="16" t="s">
        <v>24</v>
      </c>
      <c r="D7" s="17">
        <v>14</v>
      </c>
      <c r="E7" s="17"/>
      <c r="F7" s="17"/>
      <c r="G7" s="17"/>
      <c r="H7" s="17"/>
      <c r="I7" s="17"/>
      <c r="J7" s="17"/>
      <c r="K7" s="17"/>
      <c r="L7" s="17"/>
      <c r="M7" s="24"/>
      <c r="O7" t="str">
        <f>""</f>
        <v/>
      </c>
      <c r="P7" s="11" t="s">
        <v>137</v>
      </c>
      <c r="Q7">
        <v>1</v>
      </c>
      <c r="R7">
        <f>IF(P7="기계경비", J7, 0)</f>
        <v>0</v>
      </c>
      <c r="S7">
        <f>IF(P7="운반비", L7, 0)</f>
        <v>0</v>
      </c>
      <c r="T7">
        <f>IF(P7="작업부산물", F7, 0)</f>
        <v>0</v>
      </c>
      <c r="U7">
        <f>IF(P7="관급", F7, 0)</f>
        <v>0</v>
      </c>
      <c r="V7">
        <f>IF(P7="외주비", J7, 0)</f>
        <v>0</v>
      </c>
      <c r="W7">
        <f>IF(P7="장비비", J7, 0)</f>
        <v>0</v>
      </c>
      <c r="X7">
        <f>IF(P7="폐기물처리비", L7, 0)</f>
        <v>0</v>
      </c>
      <c r="Y7">
        <f>IF(P7="가설비", J7, 0)</f>
        <v>0</v>
      </c>
      <c r="Z7">
        <f>IF(P7="잡비제외분", F7, 0)</f>
        <v>0</v>
      </c>
      <c r="AA7">
        <f>IF(P7="사급자재대", L7, 0)</f>
        <v>0</v>
      </c>
      <c r="AB7">
        <f>IF(P7="관급자재대", L7, 0)</f>
        <v>0</v>
      </c>
      <c r="AC7">
        <f>IF(P7="사용자항목1", L7, 0)</f>
        <v>0</v>
      </c>
      <c r="AD7">
        <f>IF(P7="사용자항목2", L7, 0)</f>
        <v>0</v>
      </c>
      <c r="AE7">
        <f>IF(P7="안전관리비", L7, 0)</f>
        <v>0</v>
      </c>
      <c r="AF7">
        <f>IF(P7="품질관리비", L7, 0)</f>
        <v>0</v>
      </c>
      <c r="AG7">
        <f>IF(P7="작업부산물(철거해체)", L7, 0)</f>
        <v>0</v>
      </c>
      <c r="AH7">
        <f>IF(P7="사용자항목6", L7, 0)</f>
        <v>0</v>
      </c>
      <c r="AI7">
        <f>IF(P7="사용자항목7", L7, 0)</f>
        <v>0</v>
      </c>
      <c r="AJ7">
        <f>IF(P7="사용자항목8", L7, 0)</f>
        <v>0</v>
      </c>
      <c r="AK7">
        <f>IF(P7="사용자항목9", L7, 0)</f>
        <v>0</v>
      </c>
      <c r="AL7">
        <f>IF(P7="사용자항목10", L7, 0)</f>
        <v>0</v>
      </c>
      <c r="AM7">
        <f>IF(P7="사용자항목11", L7, 0)</f>
        <v>0</v>
      </c>
      <c r="AN7">
        <f>IF(P7="사용자항목12", L7, 0)</f>
        <v>0</v>
      </c>
      <c r="AO7">
        <f>IF(P7="사용자항목13", L7, 0)</f>
        <v>0</v>
      </c>
      <c r="AP7">
        <f>IF(P7="사용자항목14", L7, 0)</f>
        <v>0</v>
      </c>
      <c r="AQ7">
        <f>IF(P7="사용자항목15", L7, 0)</f>
        <v>0</v>
      </c>
      <c r="AR7">
        <f>IF(P7="사용자항목16", L7, 0)</f>
        <v>0</v>
      </c>
      <c r="AS7">
        <f>IF(P7="사용자항목17", L7, 0)</f>
        <v>0</v>
      </c>
      <c r="AT7">
        <f>IF(P7="사용자항목18", L7, 0)</f>
        <v>0</v>
      </c>
      <c r="AU7">
        <f>IF(P7="사용자항목19", L7, 0)</f>
        <v>0</v>
      </c>
    </row>
    <row r="8" spans="1:51" ht="23.1" customHeight="1" x14ac:dyDescent="0.3">
      <c r="A8" s="14" t="s">
        <v>199</v>
      </c>
      <c r="B8" s="14" t="s">
        <v>200</v>
      </c>
      <c r="C8" s="16" t="s">
        <v>24</v>
      </c>
      <c r="D8" s="17">
        <v>85</v>
      </c>
      <c r="E8" s="17"/>
      <c r="F8" s="17"/>
      <c r="G8" s="17"/>
      <c r="H8" s="17"/>
      <c r="I8" s="17"/>
      <c r="J8" s="17"/>
      <c r="K8" s="17"/>
      <c r="L8" s="17"/>
      <c r="M8" s="24"/>
      <c r="O8" t="str">
        <f>""</f>
        <v/>
      </c>
      <c r="P8" s="11" t="s">
        <v>137</v>
      </c>
      <c r="Q8">
        <v>1</v>
      </c>
      <c r="R8">
        <f>IF(P8="기계경비", J8, 0)</f>
        <v>0</v>
      </c>
      <c r="S8">
        <f>IF(P8="운반비", L8, 0)</f>
        <v>0</v>
      </c>
      <c r="T8">
        <f>IF(P8="작업부산물", F8, 0)</f>
        <v>0</v>
      </c>
      <c r="U8">
        <f>IF(P8="관급", F8, 0)</f>
        <v>0</v>
      </c>
      <c r="V8">
        <f>IF(P8="외주비", J8, 0)</f>
        <v>0</v>
      </c>
      <c r="W8">
        <f>IF(P8="장비비", J8, 0)</f>
        <v>0</v>
      </c>
      <c r="X8">
        <f>IF(P8="폐기물처리비", L8, 0)</f>
        <v>0</v>
      </c>
      <c r="Y8">
        <f>IF(P8="가설비", J8, 0)</f>
        <v>0</v>
      </c>
      <c r="Z8">
        <f>IF(P8="잡비제외분", F8, 0)</f>
        <v>0</v>
      </c>
      <c r="AA8">
        <f>IF(P8="사급자재대", L8, 0)</f>
        <v>0</v>
      </c>
      <c r="AB8">
        <f>IF(P8="관급자재대", L8, 0)</f>
        <v>0</v>
      </c>
      <c r="AC8">
        <f>IF(P8="사용자항목1", L8, 0)</f>
        <v>0</v>
      </c>
      <c r="AD8">
        <f>IF(P8="사용자항목2", L8, 0)</f>
        <v>0</v>
      </c>
      <c r="AE8">
        <f>IF(P8="안전관리비", L8, 0)</f>
        <v>0</v>
      </c>
      <c r="AF8">
        <f>IF(P8="품질관리비", L8, 0)</f>
        <v>0</v>
      </c>
      <c r="AG8">
        <f>IF(P8="작업부산물(철거해체)", L8, 0)</f>
        <v>0</v>
      </c>
      <c r="AH8">
        <f>IF(P8="사용자항목6", L8, 0)</f>
        <v>0</v>
      </c>
      <c r="AI8">
        <f>IF(P8="사용자항목7", L8, 0)</f>
        <v>0</v>
      </c>
      <c r="AJ8">
        <f>IF(P8="사용자항목8", L8, 0)</f>
        <v>0</v>
      </c>
      <c r="AK8">
        <f>IF(P8="사용자항목9", L8, 0)</f>
        <v>0</v>
      </c>
      <c r="AL8">
        <f>IF(P8="사용자항목10", L8, 0)</f>
        <v>0</v>
      </c>
      <c r="AM8">
        <f>IF(P8="사용자항목11", L8, 0)</f>
        <v>0</v>
      </c>
      <c r="AN8">
        <f>IF(P8="사용자항목12", L8, 0)</f>
        <v>0</v>
      </c>
      <c r="AO8">
        <f>IF(P8="사용자항목13", L8, 0)</f>
        <v>0</v>
      </c>
      <c r="AP8">
        <f>IF(P8="사용자항목14", L8, 0)</f>
        <v>0</v>
      </c>
      <c r="AQ8">
        <f>IF(P8="사용자항목15", L8, 0)</f>
        <v>0</v>
      </c>
      <c r="AR8">
        <f>IF(P8="사용자항목16", L8, 0)</f>
        <v>0</v>
      </c>
      <c r="AS8">
        <f>IF(P8="사용자항목17", L8, 0)</f>
        <v>0</v>
      </c>
      <c r="AT8">
        <f>IF(P8="사용자항목18", L8, 0)</f>
        <v>0</v>
      </c>
      <c r="AU8">
        <f>IF(P8="사용자항목19", L8, 0)</f>
        <v>0</v>
      </c>
    </row>
    <row r="9" spans="1:51" ht="23.1" customHeight="1" x14ac:dyDescent="0.3">
      <c r="A9" s="14" t="s">
        <v>102</v>
      </c>
      <c r="B9" s="14" t="s">
        <v>157</v>
      </c>
      <c r="C9" s="16" t="s">
        <v>158</v>
      </c>
      <c r="D9" s="17">
        <v>16</v>
      </c>
      <c r="E9" s="17"/>
      <c r="F9" s="17"/>
      <c r="G9" s="17"/>
      <c r="H9" s="17"/>
      <c r="I9" s="17"/>
      <c r="J9" s="17"/>
      <c r="K9" s="17"/>
      <c r="L9" s="17"/>
      <c r="M9" s="24"/>
      <c r="O9" t="str">
        <f>""</f>
        <v/>
      </c>
      <c r="P9" s="11" t="s">
        <v>137</v>
      </c>
      <c r="Q9">
        <v>1</v>
      </c>
      <c r="R9">
        <f>IF(P9="기계경비", J9, 0)</f>
        <v>0</v>
      </c>
      <c r="S9">
        <f>IF(P9="운반비", L9, 0)</f>
        <v>0</v>
      </c>
      <c r="T9">
        <f>IF(P9="작업부산물", F9, 0)</f>
        <v>0</v>
      </c>
      <c r="U9">
        <f>IF(P9="관급", F9, 0)</f>
        <v>0</v>
      </c>
      <c r="V9">
        <f>IF(P9="외주비", J9, 0)</f>
        <v>0</v>
      </c>
      <c r="W9">
        <f>IF(P9="장비비", J9, 0)</f>
        <v>0</v>
      </c>
      <c r="X9">
        <f>IF(P9="폐기물처리비", L9, 0)</f>
        <v>0</v>
      </c>
      <c r="Y9">
        <f>IF(P9="가설비", J9, 0)</f>
        <v>0</v>
      </c>
      <c r="Z9">
        <f>IF(P9="잡비제외분", F9, 0)</f>
        <v>0</v>
      </c>
      <c r="AA9">
        <f>IF(P9="사급자재대", L9, 0)</f>
        <v>0</v>
      </c>
      <c r="AB9">
        <f>IF(P9="관급자재대", L9, 0)</f>
        <v>0</v>
      </c>
      <c r="AC9">
        <f>IF(P9="사용자항목1", L9, 0)</f>
        <v>0</v>
      </c>
      <c r="AD9">
        <f>IF(P9="사용자항목2", L9, 0)</f>
        <v>0</v>
      </c>
      <c r="AE9">
        <f>IF(P9="안전관리비", L9, 0)</f>
        <v>0</v>
      </c>
      <c r="AF9">
        <f>IF(P9="품질관리비", L9, 0)</f>
        <v>0</v>
      </c>
      <c r="AG9">
        <f>IF(P9="작업부산물(철거해체)", L9, 0)</f>
        <v>0</v>
      </c>
      <c r="AH9">
        <f>IF(P9="사용자항목6", L9, 0)</f>
        <v>0</v>
      </c>
      <c r="AI9">
        <f>IF(P9="사용자항목7", L9, 0)</f>
        <v>0</v>
      </c>
      <c r="AJ9">
        <f>IF(P9="사용자항목8", L9, 0)</f>
        <v>0</v>
      </c>
      <c r="AK9">
        <f>IF(P9="사용자항목9", L9, 0)</f>
        <v>0</v>
      </c>
      <c r="AL9">
        <f>IF(P9="사용자항목10", L9, 0)</f>
        <v>0</v>
      </c>
      <c r="AM9">
        <f>IF(P9="사용자항목11", L9, 0)</f>
        <v>0</v>
      </c>
      <c r="AN9">
        <f>IF(P9="사용자항목12", L9, 0)</f>
        <v>0</v>
      </c>
      <c r="AO9">
        <f>IF(P9="사용자항목13", L9, 0)</f>
        <v>0</v>
      </c>
      <c r="AP9">
        <f>IF(P9="사용자항목14", L9, 0)</f>
        <v>0</v>
      </c>
      <c r="AQ9">
        <f>IF(P9="사용자항목15", L9, 0)</f>
        <v>0</v>
      </c>
      <c r="AR9">
        <f>IF(P9="사용자항목16", L9, 0)</f>
        <v>0</v>
      </c>
      <c r="AS9">
        <f>IF(P9="사용자항목17", L9, 0)</f>
        <v>0</v>
      </c>
      <c r="AT9">
        <f>IF(P9="사용자항목18", L9, 0)</f>
        <v>0</v>
      </c>
      <c r="AU9">
        <f>IF(P9="사용자항목19", L9, 0)</f>
        <v>0</v>
      </c>
    </row>
    <row r="10" spans="1:51" ht="23.1" customHeight="1" x14ac:dyDescent="0.3">
      <c r="A10" s="15"/>
      <c r="B10" s="15"/>
      <c r="C10" s="22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51" ht="23.1" customHeight="1" x14ac:dyDescent="0.3">
      <c r="A11" s="15"/>
      <c r="B11" s="15"/>
      <c r="C11" s="22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51" ht="23.1" customHeight="1" x14ac:dyDescent="0.3">
      <c r="A12" s="15"/>
      <c r="B12" s="15"/>
      <c r="C12" s="22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51" ht="23.1" customHeight="1" x14ac:dyDescent="0.3">
      <c r="A13" s="15"/>
      <c r="B13" s="15"/>
      <c r="C13" s="22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51" ht="23.1" customHeight="1" x14ac:dyDescent="0.3">
      <c r="A14" s="15"/>
      <c r="B14" s="15"/>
      <c r="C14" s="22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51" ht="23.1" customHeight="1" x14ac:dyDescent="0.3">
      <c r="A15" s="15"/>
      <c r="B15" s="15"/>
      <c r="C15" s="22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51" ht="23.1" customHeight="1" x14ac:dyDescent="0.3">
      <c r="A16" s="15"/>
      <c r="B16" s="15"/>
      <c r="C16" s="22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51" ht="23.1" customHeight="1" x14ac:dyDescent="0.3">
      <c r="A17" s="15"/>
      <c r="B17" s="15"/>
      <c r="C17" s="22"/>
      <c r="D17" s="17"/>
      <c r="E17" s="17"/>
      <c r="F17" s="17"/>
      <c r="G17" s="17"/>
      <c r="H17" s="17"/>
      <c r="I17" s="17"/>
      <c r="J17" s="17"/>
      <c r="K17" s="17"/>
      <c r="L17" s="17"/>
      <c r="M17" s="17"/>
    </row>
    <row r="18" spans="1:51" ht="23.1" customHeight="1" x14ac:dyDescent="0.3">
      <c r="A18" s="15"/>
      <c r="B18" s="15"/>
      <c r="C18" s="22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spans="1:51" ht="23.1" customHeight="1" x14ac:dyDescent="0.3">
      <c r="A19" s="15"/>
      <c r="B19" s="15"/>
      <c r="C19" s="22"/>
      <c r="D19" s="17"/>
      <c r="E19" s="17"/>
      <c r="F19" s="17"/>
      <c r="G19" s="17"/>
      <c r="H19" s="17"/>
      <c r="I19" s="17"/>
      <c r="J19" s="17"/>
      <c r="K19" s="17"/>
      <c r="L19" s="17"/>
      <c r="M19" s="17"/>
    </row>
    <row r="20" spans="1:51" ht="23.1" customHeight="1" x14ac:dyDescent="0.3">
      <c r="A20" s="18" t="s">
        <v>148</v>
      </c>
      <c r="B20" s="19"/>
      <c r="C20" s="20"/>
      <c r="D20" s="21"/>
      <c r="E20" s="21"/>
      <c r="F20" s="21">
        <f>ROUNDDOWN(SUMIF(Q6:Q19, "1", F6:F19), 0)</f>
        <v>0</v>
      </c>
      <c r="G20" s="21"/>
      <c r="H20" s="21">
        <f>ROUNDDOWN(SUMIF(Q6:Q19, "1", H6:H19), 0)</f>
        <v>0</v>
      </c>
      <c r="I20" s="21"/>
      <c r="J20" s="21">
        <f>ROUNDDOWN(SUMIF(Q6:Q19, "1", J6:J19), 0)</f>
        <v>0</v>
      </c>
      <c r="K20" s="21"/>
      <c r="L20" s="21">
        <f>F20+H20+J20</f>
        <v>0</v>
      </c>
      <c r="M20" s="21"/>
      <c r="R20">
        <f t="shared" ref="R20:AY20" si="0">ROUNDDOWN(SUM(R6:R9), 0)</f>
        <v>0</v>
      </c>
      <c r="S20">
        <f t="shared" si="0"/>
        <v>0</v>
      </c>
      <c r="T20">
        <f t="shared" si="0"/>
        <v>0</v>
      </c>
      <c r="U20">
        <f t="shared" si="0"/>
        <v>0</v>
      </c>
      <c r="V20">
        <f t="shared" si="0"/>
        <v>0</v>
      </c>
      <c r="W20">
        <f t="shared" si="0"/>
        <v>0</v>
      </c>
      <c r="X20">
        <f t="shared" si="0"/>
        <v>0</v>
      </c>
      <c r="Y20">
        <f t="shared" si="0"/>
        <v>0</v>
      </c>
      <c r="Z20">
        <f t="shared" si="0"/>
        <v>0</v>
      </c>
      <c r="AA20">
        <f t="shared" si="0"/>
        <v>0</v>
      </c>
      <c r="AB20">
        <f t="shared" si="0"/>
        <v>0</v>
      </c>
      <c r="AC20">
        <f t="shared" si="0"/>
        <v>0</v>
      </c>
      <c r="AD20">
        <f t="shared" si="0"/>
        <v>0</v>
      </c>
      <c r="AE20">
        <f t="shared" si="0"/>
        <v>0</v>
      </c>
      <c r="AF20">
        <f t="shared" si="0"/>
        <v>0</v>
      </c>
      <c r="AG20">
        <f t="shared" si="0"/>
        <v>0</v>
      </c>
      <c r="AH20">
        <f t="shared" si="0"/>
        <v>0</v>
      </c>
      <c r="AI20">
        <f t="shared" si="0"/>
        <v>0</v>
      </c>
      <c r="AJ20">
        <f t="shared" si="0"/>
        <v>0</v>
      </c>
      <c r="AK20">
        <f t="shared" si="0"/>
        <v>0</v>
      </c>
      <c r="AL20">
        <f t="shared" si="0"/>
        <v>0</v>
      </c>
      <c r="AM20">
        <f t="shared" si="0"/>
        <v>0</v>
      </c>
      <c r="AN20">
        <f t="shared" si="0"/>
        <v>0</v>
      </c>
      <c r="AO20">
        <f t="shared" si="0"/>
        <v>0</v>
      </c>
      <c r="AP20">
        <f t="shared" si="0"/>
        <v>0</v>
      </c>
      <c r="AQ20">
        <f t="shared" si="0"/>
        <v>0</v>
      </c>
      <c r="AR20">
        <f t="shared" si="0"/>
        <v>0</v>
      </c>
      <c r="AS20">
        <f t="shared" si="0"/>
        <v>0</v>
      </c>
      <c r="AT20">
        <f t="shared" si="0"/>
        <v>0</v>
      </c>
      <c r="AU20">
        <f t="shared" si="0"/>
        <v>0</v>
      </c>
      <c r="AV20">
        <f t="shared" si="0"/>
        <v>0</v>
      </c>
      <c r="AW20">
        <f t="shared" si="0"/>
        <v>0</v>
      </c>
      <c r="AX20">
        <f t="shared" si="0"/>
        <v>0</v>
      </c>
      <c r="AY20">
        <f t="shared" si="0"/>
        <v>0</v>
      </c>
    </row>
    <row r="21" spans="1:51" ht="23.1" customHeight="1" x14ac:dyDescent="0.3">
      <c r="A21" s="68" t="s">
        <v>258</v>
      </c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</row>
    <row r="22" spans="1:51" ht="23.1" customHeight="1" x14ac:dyDescent="0.3">
      <c r="A22" s="14" t="s">
        <v>259</v>
      </c>
      <c r="B22" s="14" t="s">
        <v>260</v>
      </c>
      <c r="C22" s="16" t="s">
        <v>24</v>
      </c>
      <c r="D22" s="17">
        <v>7</v>
      </c>
      <c r="E22" s="17"/>
      <c r="F22" s="17"/>
      <c r="G22" s="17"/>
      <c r="H22" s="17"/>
      <c r="I22" s="17"/>
      <c r="J22" s="17"/>
      <c r="K22" s="17"/>
      <c r="L22" s="17"/>
      <c r="M22" s="17"/>
      <c r="O22" t="str">
        <f t="shared" ref="O22:O29" si="1">"01"</f>
        <v>01</v>
      </c>
      <c r="P22" s="11" t="s">
        <v>137</v>
      </c>
      <c r="Q22">
        <v>1</v>
      </c>
      <c r="R22">
        <f t="shared" ref="R22:R57" si="2">IF(P22="기계경비", J22, 0)</f>
        <v>0</v>
      </c>
      <c r="S22">
        <f t="shared" ref="S22:S57" si="3">IF(P22="운반비", L22, 0)</f>
        <v>0</v>
      </c>
      <c r="T22">
        <f t="shared" ref="T22:T57" si="4">IF(P22="작업부산물", F22, 0)</f>
        <v>0</v>
      </c>
      <c r="U22">
        <f t="shared" ref="U22:U57" si="5">IF(P22="관급", F22, 0)</f>
        <v>0</v>
      </c>
      <c r="V22">
        <f t="shared" ref="V22:V57" si="6">IF(P22="외주비", J22, 0)</f>
        <v>0</v>
      </c>
      <c r="W22">
        <f t="shared" ref="W22:W57" si="7">IF(P22="장비비", J22, 0)</f>
        <v>0</v>
      </c>
      <c r="X22">
        <f t="shared" ref="X22:X57" si="8">IF(P22="폐기물처리비", L22, 0)</f>
        <v>0</v>
      </c>
      <c r="Y22">
        <f t="shared" ref="Y22:Y57" si="9">IF(P22="가설비", J22, 0)</f>
        <v>0</v>
      </c>
      <c r="Z22">
        <f t="shared" ref="Z22:Z57" si="10">IF(P22="잡비제외분", F22, 0)</f>
        <v>0</v>
      </c>
      <c r="AA22">
        <f t="shared" ref="AA22:AA57" si="11">IF(P22="사급자재대", L22, 0)</f>
        <v>0</v>
      </c>
      <c r="AB22">
        <f t="shared" ref="AB22:AB57" si="12">IF(P22="관급자재대", L22, 0)</f>
        <v>0</v>
      </c>
      <c r="AC22">
        <f t="shared" ref="AC22:AC57" si="13">IF(P22="사용자항목1", L22, 0)</f>
        <v>0</v>
      </c>
      <c r="AD22">
        <f t="shared" ref="AD22:AD57" si="14">IF(P22="사용자항목2", L22, 0)</f>
        <v>0</v>
      </c>
      <c r="AE22">
        <f t="shared" ref="AE22:AE57" si="15">IF(P22="안전관리비", L22, 0)</f>
        <v>0</v>
      </c>
      <c r="AF22">
        <f t="shared" ref="AF22:AF57" si="16">IF(P22="품질관리비", L22, 0)</f>
        <v>0</v>
      </c>
      <c r="AG22">
        <f t="shared" ref="AG22:AG57" si="17">IF(P22="작업부산물(철거해체)", L22, 0)</f>
        <v>0</v>
      </c>
      <c r="AH22">
        <f t="shared" ref="AH22:AH57" si="18">IF(P22="사용자항목6", L22, 0)</f>
        <v>0</v>
      </c>
      <c r="AI22">
        <f t="shared" ref="AI22:AI57" si="19">IF(P22="사용자항목7", L22, 0)</f>
        <v>0</v>
      </c>
      <c r="AJ22">
        <f t="shared" ref="AJ22:AJ57" si="20">IF(P22="사용자항목8", L22, 0)</f>
        <v>0</v>
      </c>
      <c r="AK22">
        <f t="shared" ref="AK22:AK57" si="21">IF(P22="사용자항목9", L22, 0)</f>
        <v>0</v>
      </c>
      <c r="AL22">
        <f t="shared" ref="AL22:AL57" si="22">IF(P22="사용자항목10", L22, 0)</f>
        <v>0</v>
      </c>
      <c r="AM22">
        <f t="shared" ref="AM22:AM57" si="23">IF(P22="사용자항목11", L22, 0)</f>
        <v>0</v>
      </c>
      <c r="AN22">
        <f t="shared" ref="AN22:AN57" si="24">IF(P22="사용자항목12", L22, 0)</f>
        <v>0</v>
      </c>
      <c r="AO22">
        <f t="shared" ref="AO22:AO57" si="25">IF(P22="사용자항목13", L22, 0)</f>
        <v>0</v>
      </c>
      <c r="AP22">
        <f t="shared" ref="AP22:AP57" si="26">IF(P22="사용자항목14", L22, 0)</f>
        <v>0</v>
      </c>
      <c r="AQ22">
        <f t="shared" ref="AQ22:AQ57" si="27">IF(P22="사용자항목15", L22, 0)</f>
        <v>0</v>
      </c>
      <c r="AR22">
        <f t="shared" ref="AR22:AR57" si="28">IF(P22="사용자항목16", L22, 0)</f>
        <v>0</v>
      </c>
      <c r="AS22">
        <f t="shared" ref="AS22:AS57" si="29">IF(P22="사용자항목17", L22, 0)</f>
        <v>0</v>
      </c>
      <c r="AT22">
        <f t="shared" ref="AT22:AT57" si="30">IF(P22="사용자항목18", L22, 0)</f>
        <v>0</v>
      </c>
      <c r="AU22">
        <f t="shared" ref="AU22:AU57" si="31">IF(P22="사용자항목19", L22, 0)</f>
        <v>0</v>
      </c>
    </row>
    <row r="23" spans="1:51" ht="23.1" customHeight="1" x14ac:dyDescent="0.3">
      <c r="A23" s="14" t="s">
        <v>259</v>
      </c>
      <c r="B23" s="14" t="s">
        <v>261</v>
      </c>
      <c r="C23" s="16" t="s">
        <v>24</v>
      </c>
      <c r="D23" s="17">
        <v>15</v>
      </c>
      <c r="E23" s="17"/>
      <c r="F23" s="17"/>
      <c r="G23" s="17"/>
      <c r="H23" s="17"/>
      <c r="I23" s="17"/>
      <c r="J23" s="17"/>
      <c r="K23" s="17"/>
      <c r="L23" s="17"/>
      <c r="M23" s="17"/>
      <c r="O23" t="str">
        <f t="shared" si="1"/>
        <v>01</v>
      </c>
      <c r="P23" s="11" t="s">
        <v>137</v>
      </c>
      <c r="Q23">
        <v>1</v>
      </c>
      <c r="R23">
        <f t="shared" si="2"/>
        <v>0</v>
      </c>
      <c r="S23">
        <f t="shared" si="3"/>
        <v>0</v>
      </c>
      <c r="T23">
        <f t="shared" si="4"/>
        <v>0</v>
      </c>
      <c r="U23">
        <f t="shared" si="5"/>
        <v>0</v>
      </c>
      <c r="V23">
        <f t="shared" si="6"/>
        <v>0</v>
      </c>
      <c r="W23">
        <f t="shared" si="7"/>
        <v>0</v>
      </c>
      <c r="X23">
        <f t="shared" si="8"/>
        <v>0</v>
      </c>
      <c r="Y23">
        <f t="shared" si="9"/>
        <v>0</v>
      </c>
      <c r="Z23">
        <f t="shared" si="10"/>
        <v>0</v>
      </c>
      <c r="AA23">
        <f t="shared" si="11"/>
        <v>0</v>
      </c>
      <c r="AB23">
        <f t="shared" si="12"/>
        <v>0</v>
      </c>
      <c r="AC23">
        <f t="shared" si="13"/>
        <v>0</v>
      </c>
      <c r="AD23">
        <f t="shared" si="14"/>
        <v>0</v>
      </c>
      <c r="AE23">
        <f t="shared" si="15"/>
        <v>0</v>
      </c>
      <c r="AF23">
        <f t="shared" si="16"/>
        <v>0</v>
      </c>
      <c r="AG23">
        <f t="shared" si="17"/>
        <v>0</v>
      </c>
      <c r="AH23">
        <f t="shared" si="18"/>
        <v>0</v>
      </c>
      <c r="AI23">
        <f t="shared" si="19"/>
        <v>0</v>
      </c>
      <c r="AJ23">
        <f t="shared" si="20"/>
        <v>0</v>
      </c>
      <c r="AK23">
        <f t="shared" si="21"/>
        <v>0</v>
      </c>
      <c r="AL23">
        <f t="shared" si="22"/>
        <v>0</v>
      </c>
      <c r="AM23">
        <f t="shared" si="23"/>
        <v>0</v>
      </c>
      <c r="AN23">
        <f t="shared" si="24"/>
        <v>0</v>
      </c>
      <c r="AO23">
        <f t="shared" si="25"/>
        <v>0</v>
      </c>
      <c r="AP23">
        <f t="shared" si="26"/>
        <v>0</v>
      </c>
      <c r="AQ23">
        <f t="shared" si="27"/>
        <v>0</v>
      </c>
      <c r="AR23">
        <f t="shared" si="28"/>
        <v>0</v>
      </c>
      <c r="AS23">
        <f t="shared" si="29"/>
        <v>0</v>
      </c>
      <c r="AT23">
        <f t="shared" si="30"/>
        <v>0</v>
      </c>
      <c r="AU23">
        <f t="shared" si="31"/>
        <v>0</v>
      </c>
    </row>
    <row r="24" spans="1:51" ht="23.1" customHeight="1" x14ac:dyDescent="0.3">
      <c r="A24" s="14" t="s">
        <v>259</v>
      </c>
      <c r="B24" s="14" t="s">
        <v>262</v>
      </c>
      <c r="C24" s="16" t="s">
        <v>24</v>
      </c>
      <c r="D24" s="17">
        <v>1</v>
      </c>
      <c r="E24" s="17"/>
      <c r="F24" s="17"/>
      <c r="G24" s="17"/>
      <c r="H24" s="17"/>
      <c r="I24" s="17"/>
      <c r="J24" s="17"/>
      <c r="K24" s="17"/>
      <c r="L24" s="17"/>
      <c r="M24" s="17"/>
      <c r="O24" t="str">
        <f t="shared" si="1"/>
        <v>01</v>
      </c>
      <c r="P24" s="11" t="s">
        <v>137</v>
      </c>
      <c r="Q24">
        <v>1</v>
      </c>
      <c r="R24">
        <f t="shared" si="2"/>
        <v>0</v>
      </c>
      <c r="S24">
        <f t="shared" si="3"/>
        <v>0</v>
      </c>
      <c r="T24">
        <f t="shared" si="4"/>
        <v>0</v>
      </c>
      <c r="U24">
        <f t="shared" si="5"/>
        <v>0</v>
      </c>
      <c r="V24">
        <f t="shared" si="6"/>
        <v>0</v>
      </c>
      <c r="W24">
        <f t="shared" si="7"/>
        <v>0</v>
      </c>
      <c r="X24">
        <f t="shared" si="8"/>
        <v>0</v>
      </c>
      <c r="Y24">
        <f t="shared" si="9"/>
        <v>0</v>
      </c>
      <c r="Z24">
        <f t="shared" si="10"/>
        <v>0</v>
      </c>
      <c r="AA24">
        <f t="shared" si="11"/>
        <v>0</v>
      </c>
      <c r="AB24">
        <f t="shared" si="12"/>
        <v>0</v>
      </c>
      <c r="AC24">
        <f t="shared" si="13"/>
        <v>0</v>
      </c>
      <c r="AD24">
        <f t="shared" si="14"/>
        <v>0</v>
      </c>
      <c r="AE24">
        <f t="shared" si="15"/>
        <v>0</v>
      </c>
      <c r="AF24">
        <f t="shared" si="16"/>
        <v>0</v>
      </c>
      <c r="AG24">
        <f t="shared" si="17"/>
        <v>0</v>
      </c>
      <c r="AH24">
        <f t="shared" si="18"/>
        <v>0</v>
      </c>
      <c r="AI24">
        <f t="shared" si="19"/>
        <v>0</v>
      </c>
      <c r="AJ24">
        <f t="shared" si="20"/>
        <v>0</v>
      </c>
      <c r="AK24">
        <f t="shared" si="21"/>
        <v>0</v>
      </c>
      <c r="AL24">
        <f t="shared" si="22"/>
        <v>0</v>
      </c>
      <c r="AM24">
        <f t="shared" si="23"/>
        <v>0</v>
      </c>
      <c r="AN24">
        <f t="shared" si="24"/>
        <v>0</v>
      </c>
      <c r="AO24">
        <f t="shared" si="25"/>
        <v>0</v>
      </c>
      <c r="AP24">
        <f t="shared" si="26"/>
        <v>0</v>
      </c>
      <c r="AQ24">
        <f t="shared" si="27"/>
        <v>0</v>
      </c>
      <c r="AR24">
        <f t="shared" si="28"/>
        <v>0</v>
      </c>
      <c r="AS24">
        <f t="shared" si="29"/>
        <v>0</v>
      </c>
      <c r="AT24">
        <f t="shared" si="30"/>
        <v>0</v>
      </c>
      <c r="AU24">
        <f t="shared" si="31"/>
        <v>0</v>
      </c>
    </row>
    <row r="25" spans="1:51" ht="23.1" customHeight="1" x14ac:dyDescent="0.3">
      <c r="A25" s="14" t="s">
        <v>259</v>
      </c>
      <c r="B25" s="14" t="s">
        <v>263</v>
      </c>
      <c r="C25" s="16" t="s">
        <v>24</v>
      </c>
      <c r="D25" s="17">
        <v>3</v>
      </c>
      <c r="E25" s="17"/>
      <c r="F25" s="17"/>
      <c r="G25" s="17"/>
      <c r="H25" s="17"/>
      <c r="I25" s="17"/>
      <c r="J25" s="17"/>
      <c r="K25" s="17"/>
      <c r="L25" s="17"/>
      <c r="M25" s="17"/>
      <c r="O25" t="str">
        <f t="shared" si="1"/>
        <v>01</v>
      </c>
      <c r="P25" s="11" t="s">
        <v>137</v>
      </c>
      <c r="Q25">
        <v>1</v>
      </c>
      <c r="R25">
        <f t="shared" si="2"/>
        <v>0</v>
      </c>
      <c r="S25">
        <f t="shared" si="3"/>
        <v>0</v>
      </c>
      <c r="T25">
        <f t="shared" si="4"/>
        <v>0</v>
      </c>
      <c r="U25">
        <f t="shared" si="5"/>
        <v>0</v>
      </c>
      <c r="V25">
        <f t="shared" si="6"/>
        <v>0</v>
      </c>
      <c r="W25">
        <f t="shared" si="7"/>
        <v>0</v>
      </c>
      <c r="X25">
        <f t="shared" si="8"/>
        <v>0</v>
      </c>
      <c r="Y25">
        <f t="shared" si="9"/>
        <v>0</v>
      </c>
      <c r="Z25">
        <f t="shared" si="10"/>
        <v>0</v>
      </c>
      <c r="AA25">
        <f t="shared" si="11"/>
        <v>0</v>
      </c>
      <c r="AB25">
        <f t="shared" si="12"/>
        <v>0</v>
      </c>
      <c r="AC25">
        <f t="shared" si="13"/>
        <v>0</v>
      </c>
      <c r="AD25">
        <f t="shared" si="14"/>
        <v>0</v>
      </c>
      <c r="AE25">
        <f t="shared" si="15"/>
        <v>0</v>
      </c>
      <c r="AF25">
        <f t="shared" si="16"/>
        <v>0</v>
      </c>
      <c r="AG25">
        <f t="shared" si="17"/>
        <v>0</v>
      </c>
      <c r="AH25">
        <f t="shared" si="18"/>
        <v>0</v>
      </c>
      <c r="AI25">
        <f t="shared" si="19"/>
        <v>0</v>
      </c>
      <c r="AJ25">
        <f t="shared" si="20"/>
        <v>0</v>
      </c>
      <c r="AK25">
        <f t="shared" si="21"/>
        <v>0</v>
      </c>
      <c r="AL25">
        <f t="shared" si="22"/>
        <v>0</v>
      </c>
      <c r="AM25">
        <f t="shared" si="23"/>
        <v>0</v>
      </c>
      <c r="AN25">
        <f t="shared" si="24"/>
        <v>0</v>
      </c>
      <c r="AO25">
        <f t="shared" si="25"/>
        <v>0</v>
      </c>
      <c r="AP25">
        <f t="shared" si="26"/>
        <v>0</v>
      </c>
      <c r="AQ25">
        <f t="shared" si="27"/>
        <v>0</v>
      </c>
      <c r="AR25">
        <f t="shared" si="28"/>
        <v>0</v>
      </c>
      <c r="AS25">
        <f t="shared" si="29"/>
        <v>0</v>
      </c>
      <c r="AT25">
        <f t="shared" si="30"/>
        <v>0</v>
      </c>
      <c r="AU25">
        <f t="shared" si="31"/>
        <v>0</v>
      </c>
    </row>
    <row r="26" spans="1:51" ht="23.1" customHeight="1" x14ac:dyDescent="0.3">
      <c r="A26" s="14" t="s">
        <v>22</v>
      </c>
      <c r="B26" s="14" t="s">
        <v>23</v>
      </c>
      <c r="C26" s="16" t="s">
        <v>24</v>
      </c>
      <c r="D26" s="17">
        <v>4</v>
      </c>
      <c r="E26" s="17"/>
      <c r="F26" s="17"/>
      <c r="G26" s="17"/>
      <c r="H26" s="17"/>
      <c r="I26" s="17"/>
      <c r="J26" s="17"/>
      <c r="K26" s="17"/>
      <c r="L26" s="17"/>
      <c r="M26" s="17"/>
      <c r="O26" t="str">
        <f t="shared" si="1"/>
        <v>01</v>
      </c>
      <c r="P26" s="11" t="s">
        <v>137</v>
      </c>
      <c r="Q26">
        <v>1</v>
      </c>
      <c r="R26">
        <f t="shared" si="2"/>
        <v>0</v>
      </c>
      <c r="S26">
        <f t="shared" si="3"/>
        <v>0</v>
      </c>
      <c r="T26">
        <f t="shared" si="4"/>
        <v>0</v>
      </c>
      <c r="U26">
        <f t="shared" si="5"/>
        <v>0</v>
      </c>
      <c r="V26">
        <f t="shared" si="6"/>
        <v>0</v>
      </c>
      <c r="W26">
        <f t="shared" si="7"/>
        <v>0</v>
      </c>
      <c r="X26">
        <f t="shared" si="8"/>
        <v>0</v>
      </c>
      <c r="Y26">
        <f t="shared" si="9"/>
        <v>0</v>
      </c>
      <c r="Z26">
        <f t="shared" si="10"/>
        <v>0</v>
      </c>
      <c r="AA26">
        <f t="shared" si="11"/>
        <v>0</v>
      </c>
      <c r="AB26">
        <f t="shared" si="12"/>
        <v>0</v>
      </c>
      <c r="AC26">
        <f t="shared" si="13"/>
        <v>0</v>
      </c>
      <c r="AD26">
        <f t="shared" si="14"/>
        <v>0</v>
      </c>
      <c r="AE26">
        <f t="shared" si="15"/>
        <v>0</v>
      </c>
      <c r="AF26">
        <f t="shared" si="16"/>
        <v>0</v>
      </c>
      <c r="AG26">
        <f t="shared" si="17"/>
        <v>0</v>
      </c>
      <c r="AH26">
        <f t="shared" si="18"/>
        <v>0</v>
      </c>
      <c r="AI26">
        <f t="shared" si="19"/>
        <v>0</v>
      </c>
      <c r="AJ26">
        <f t="shared" si="20"/>
        <v>0</v>
      </c>
      <c r="AK26">
        <f t="shared" si="21"/>
        <v>0</v>
      </c>
      <c r="AL26">
        <f t="shared" si="22"/>
        <v>0</v>
      </c>
      <c r="AM26">
        <f t="shared" si="23"/>
        <v>0</v>
      </c>
      <c r="AN26">
        <f t="shared" si="24"/>
        <v>0</v>
      </c>
      <c r="AO26">
        <f t="shared" si="25"/>
        <v>0</v>
      </c>
      <c r="AP26">
        <f t="shared" si="26"/>
        <v>0</v>
      </c>
      <c r="AQ26">
        <f t="shared" si="27"/>
        <v>0</v>
      </c>
      <c r="AR26">
        <f t="shared" si="28"/>
        <v>0</v>
      </c>
      <c r="AS26">
        <f t="shared" si="29"/>
        <v>0</v>
      </c>
      <c r="AT26">
        <f t="shared" si="30"/>
        <v>0</v>
      </c>
      <c r="AU26">
        <f t="shared" si="31"/>
        <v>0</v>
      </c>
    </row>
    <row r="27" spans="1:51" ht="23.1" customHeight="1" x14ac:dyDescent="0.3">
      <c r="A27" s="14" t="s">
        <v>22</v>
      </c>
      <c r="B27" s="14" t="s">
        <v>27</v>
      </c>
      <c r="C27" s="16" t="s">
        <v>24</v>
      </c>
      <c r="D27" s="17">
        <v>1</v>
      </c>
      <c r="E27" s="17"/>
      <c r="F27" s="17"/>
      <c r="G27" s="17"/>
      <c r="H27" s="17"/>
      <c r="I27" s="17"/>
      <c r="J27" s="17"/>
      <c r="K27" s="17"/>
      <c r="L27" s="17"/>
      <c r="M27" s="17"/>
      <c r="O27" t="str">
        <f t="shared" si="1"/>
        <v>01</v>
      </c>
      <c r="P27" s="11" t="s">
        <v>137</v>
      </c>
      <c r="Q27">
        <v>1</v>
      </c>
      <c r="R27">
        <f t="shared" si="2"/>
        <v>0</v>
      </c>
      <c r="S27">
        <f t="shared" si="3"/>
        <v>0</v>
      </c>
      <c r="T27">
        <f t="shared" si="4"/>
        <v>0</v>
      </c>
      <c r="U27">
        <f t="shared" si="5"/>
        <v>0</v>
      </c>
      <c r="V27">
        <f t="shared" si="6"/>
        <v>0</v>
      </c>
      <c r="W27">
        <f t="shared" si="7"/>
        <v>0</v>
      </c>
      <c r="X27">
        <f t="shared" si="8"/>
        <v>0</v>
      </c>
      <c r="Y27">
        <f t="shared" si="9"/>
        <v>0</v>
      </c>
      <c r="Z27">
        <f t="shared" si="10"/>
        <v>0</v>
      </c>
      <c r="AA27">
        <f t="shared" si="11"/>
        <v>0</v>
      </c>
      <c r="AB27">
        <f t="shared" si="12"/>
        <v>0</v>
      </c>
      <c r="AC27">
        <f t="shared" si="13"/>
        <v>0</v>
      </c>
      <c r="AD27">
        <f t="shared" si="14"/>
        <v>0</v>
      </c>
      <c r="AE27">
        <f t="shared" si="15"/>
        <v>0</v>
      </c>
      <c r="AF27">
        <f t="shared" si="16"/>
        <v>0</v>
      </c>
      <c r="AG27">
        <f t="shared" si="17"/>
        <v>0</v>
      </c>
      <c r="AH27">
        <f t="shared" si="18"/>
        <v>0</v>
      </c>
      <c r="AI27">
        <f t="shared" si="19"/>
        <v>0</v>
      </c>
      <c r="AJ27">
        <f t="shared" si="20"/>
        <v>0</v>
      </c>
      <c r="AK27">
        <f t="shared" si="21"/>
        <v>0</v>
      </c>
      <c r="AL27">
        <f t="shared" si="22"/>
        <v>0</v>
      </c>
      <c r="AM27">
        <f t="shared" si="23"/>
        <v>0</v>
      </c>
      <c r="AN27">
        <f t="shared" si="24"/>
        <v>0</v>
      </c>
      <c r="AO27">
        <f t="shared" si="25"/>
        <v>0</v>
      </c>
      <c r="AP27">
        <f t="shared" si="26"/>
        <v>0</v>
      </c>
      <c r="AQ27">
        <f t="shared" si="27"/>
        <v>0</v>
      </c>
      <c r="AR27">
        <f t="shared" si="28"/>
        <v>0</v>
      </c>
      <c r="AS27">
        <f t="shared" si="29"/>
        <v>0</v>
      </c>
      <c r="AT27">
        <f t="shared" si="30"/>
        <v>0</v>
      </c>
      <c r="AU27">
        <f t="shared" si="31"/>
        <v>0</v>
      </c>
    </row>
    <row r="28" spans="1:51" ht="23.1" customHeight="1" x14ac:dyDescent="0.3">
      <c r="A28" s="14" t="s">
        <v>22</v>
      </c>
      <c r="B28" s="14" t="s">
        <v>28</v>
      </c>
      <c r="C28" s="16" t="s">
        <v>24</v>
      </c>
      <c r="D28" s="17">
        <v>5</v>
      </c>
      <c r="E28" s="17"/>
      <c r="F28" s="17"/>
      <c r="G28" s="17"/>
      <c r="H28" s="17"/>
      <c r="I28" s="17"/>
      <c r="J28" s="17"/>
      <c r="K28" s="17"/>
      <c r="L28" s="17"/>
      <c r="M28" s="17"/>
      <c r="O28" t="str">
        <f t="shared" si="1"/>
        <v>01</v>
      </c>
      <c r="P28" s="11" t="s">
        <v>137</v>
      </c>
      <c r="Q28">
        <v>1</v>
      </c>
      <c r="R28">
        <f t="shared" si="2"/>
        <v>0</v>
      </c>
      <c r="S28">
        <f t="shared" si="3"/>
        <v>0</v>
      </c>
      <c r="T28">
        <f t="shared" si="4"/>
        <v>0</v>
      </c>
      <c r="U28">
        <f t="shared" si="5"/>
        <v>0</v>
      </c>
      <c r="V28">
        <f t="shared" si="6"/>
        <v>0</v>
      </c>
      <c r="W28">
        <f t="shared" si="7"/>
        <v>0</v>
      </c>
      <c r="X28">
        <f t="shared" si="8"/>
        <v>0</v>
      </c>
      <c r="Y28">
        <f t="shared" si="9"/>
        <v>0</v>
      </c>
      <c r="Z28">
        <f t="shared" si="10"/>
        <v>0</v>
      </c>
      <c r="AA28">
        <f t="shared" si="11"/>
        <v>0</v>
      </c>
      <c r="AB28">
        <f t="shared" si="12"/>
        <v>0</v>
      </c>
      <c r="AC28">
        <f t="shared" si="13"/>
        <v>0</v>
      </c>
      <c r="AD28">
        <f t="shared" si="14"/>
        <v>0</v>
      </c>
      <c r="AE28">
        <f t="shared" si="15"/>
        <v>0</v>
      </c>
      <c r="AF28">
        <f t="shared" si="16"/>
        <v>0</v>
      </c>
      <c r="AG28">
        <f t="shared" si="17"/>
        <v>0</v>
      </c>
      <c r="AH28">
        <f t="shared" si="18"/>
        <v>0</v>
      </c>
      <c r="AI28">
        <f t="shared" si="19"/>
        <v>0</v>
      </c>
      <c r="AJ28">
        <f t="shared" si="20"/>
        <v>0</v>
      </c>
      <c r="AK28">
        <f t="shared" si="21"/>
        <v>0</v>
      </c>
      <c r="AL28">
        <f t="shared" si="22"/>
        <v>0</v>
      </c>
      <c r="AM28">
        <f t="shared" si="23"/>
        <v>0</v>
      </c>
      <c r="AN28">
        <f t="shared" si="24"/>
        <v>0</v>
      </c>
      <c r="AO28">
        <f t="shared" si="25"/>
        <v>0</v>
      </c>
      <c r="AP28">
        <f t="shared" si="26"/>
        <v>0</v>
      </c>
      <c r="AQ28">
        <f t="shared" si="27"/>
        <v>0</v>
      </c>
      <c r="AR28">
        <f t="shared" si="28"/>
        <v>0</v>
      </c>
      <c r="AS28">
        <f t="shared" si="29"/>
        <v>0</v>
      </c>
      <c r="AT28">
        <f t="shared" si="30"/>
        <v>0</v>
      </c>
      <c r="AU28">
        <f t="shared" si="31"/>
        <v>0</v>
      </c>
    </row>
    <row r="29" spans="1:51" ht="23.1" customHeight="1" x14ac:dyDescent="0.3">
      <c r="A29" s="14" t="s">
        <v>22</v>
      </c>
      <c r="B29" s="14" t="s">
        <v>29</v>
      </c>
      <c r="C29" s="16" t="s">
        <v>24</v>
      </c>
      <c r="D29" s="17">
        <v>9</v>
      </c>
      <c r="E29" s="17"/>
      <c r="F29" s="17"/>
      <c r="G29" s="17"/>
      <c r="H29" s="17"/>
      <c r="I29" s="17"/>
      <c r="J29" s="17"/>
      <c r="K29" s="17"/>
      <c r="L29" s="17"/>
      <c r="M29" s="17"/>
      <c r="O29" t="str">
        <f t="shared" si="1"/>
        <v>01</v>
      </c>
      <c r="P29" s="11" t="s">
        <v>137</v>
      </c>
      <c r="Q29">
        <v>1</v>
      </c>
      <c r="R29">
        <f t="shared" si="2"/>
        <v>0</v>
      </c>
      <c r="S29">
        <f t="shared" si="3"/>
        <v>0</v>
      </c>
      <c r="T29">
        <f t="shared" si="4"/>
        <v>0</v>
      </c>
      <c r="U29">
        <f t="shared" si="5"/>
        <v>0</v>
      </c>
      <c r="V29">
        <f t="shared" si="6"/>
        <v>0</v>
      </c>
      <c r="W29">
        <f t="shared" si="7"/>
        <v>0</v>
      </c>
      <c r="X29">
        <f t="shared" si="8"/>
        <v>0</v>
      </c>
      <c r="Y29">
        <f t="shared" si="9"/>
        <v>0</v>
      </c>
      <c r="Z29">
        <f t="shared" si="10"/>
        <v>0</v>
      </c>
      <c r="AA29">
        <f t="shared" si="11"/>
        <v>0</v>
      </c>
      <c r="AB29">
        <f t="shared" si="12"/>
        <v>0</v>
      </c>
      <c r="AC29">
        <f t="shared" si="13"/>
        <v>0</v>
      </c>
      <c r="AD29">
        <f t="shared" si="14"/>
        <v>0</v>
      </c>
      <c r="AE29">
        <f t="shared" si="15"/>
        <v>0</v>
      </c>
      <c r="AF29">
        <f t="shared" si="16"/>
        <v>0</v>
      </c>
      <c r="AG29">
        <f t="shared" si="17"/>
        <v>0</v>
      </c>
      <c r="AH29">
        <f t="shared" si="18"/>
        <v>0</v>
      </c>
      <c r="AI29">
        <f t="shared" si="19"/>
        <v>0</v>
      </c>
      <c r="AJ29">
        <f t="shared" si="20"/>
        <v>0</v>
      </c>
      <c r="AK29">
        <f t="shared" si="21"/>
        <v>0</v>
      </c>
      <c r="AL29">
        <f t="shared" si="22"/>
        <v>0</v>
      </c>
      <c r="AM29">
        <f t="shared" si="23"/>
        <v>0</v>
      </c>
      <c r="AN29">
        <f t="shared" si="24"/>
        <v>0</v>
      </c>
      <c r="AO29">
        <f t="shared" si="25"/>
        <v>0</v>
      </c>
      <c r="AP29">
        <f t="shared" si="26"/>
        <v>0</v>
      </c>
      <c r="AQ29">
        <f t="shared" si="27"/>
        <v>0</v>
      </c>
      <c r="AR29">
        <f t="shared" si="28"/>
        <v>0</v>
      </c>
      <c r="AS29">
        <f t="shared" si="29"/>
        <v>0</v>
      </c>
      <c r="AT29">
        <f t="shared" si="30"/>
        <v>0</v>
      </c>
      <c r="AU29">
        <f t="shared" si="31"/>
        <v>0</v>
      </c>
    </row>
    <row r="30" spans="1:51" ht="23.1" customHeight="1" x14ac:dyDescent="0.3">
      <c r="A30" s="14" t="s">
        <v>37</v>
      </c>
      <c r="B30" s="14" t="s">
        <v>38</v>
      </c>
      <c r="C30" s="16" t="s">
        <v>24</v>
      </c>
      <c r="D30" s="17">
        <v>6</v>
      </c>
      <c r="E30" s="17"/>
      <c r="F30" s="17"/>
      <c r="G30" s="17"/>
      <c r="H30" s="17"/>
      <c r="I30" s="17"/>
      <c r="J30" s="17"/>
      <c r="K30" s="17"/>
      <c r="L30" s="17"/>
      <c r="M30" s="24"/>
      <c r="O30" t="str">
        <f>"04"</f>
        <v>04</v>
      </c>
      <c r="P30" s="11" t="s">
        <v>137</v>
      </c>
      <c r="Q30">
        <v>1</v>
      </c>
      <c r="R30">
        <f t="shared" si="2"/>
        <v>0</v>
      </c>
      <c r="S30">
        <f t="shared" si="3"/>
        <v>0</v>
      </c>
      <c r="T30">
        <f t="shared" si="4"/>
        <v>0</v>
      </c>
      <c r="U30">
        <f t="shared" si="5"/>
        <v>0</v>
      </c>
      <c r="V30">
        <f t="shared" si="6"/>
        <v>0</v>
      </c>
      <c r="W30">
        <f t="shared" si="7"/>
        <v>0</v>
      </c>
      <c r="X30">
        <f t="shared" si="8"/>
        <v>0</v>
      </c>
      <c r="Y30">
        <f t="shared" si="9"/>
        <v>0</v>
      </c>
      <c r="Z30">
        <f t="shared" si="10"/>
        <v>0</v>
      </c>
      <c r="AA30">
        <f t="shared" si="11"/>
        <v>0</v>
      </c>
      <c r="AB30">
        <f t="shared" si="12"/>
        <v>0</v>
      </c>
      <c r="AC30">
        <f t="shared" si="13"/>
        <v>0</v>
      </c>
      <c r="AD30">
        <f t="shared" si="14"/>
        <v>0</v>
      </c>
      <c r="AE30">
        <f t="shared" si="15"/>
        <v>0</v>
      </c>
      <c r="AF30">
        <f t="shared" si="16"/>
        <v>0</v>
      </c>
      <c r="AG30">
        <f t="shared" si="17"/>
        <v>0</v>
      </c>
      <c r="AH30">
        <f t="shared" si="18"/>
        <v>0</v>
      </c>
      <c r="AI30">
        <f t="shared" si="19"/>
        <v>0</v>
      </c>
      <c r="AJ30">
        <f t="shared" si="20"/>
        <v>0</v>
      </c>
      <c r="AK30">
        <f t="shared" si="21"/>
        <v>0</v>
      </c>
      <c r="AL30">
        <f t="shared" si="22"/>
        <v>0</v>
      </c>
      <c r="AM30">
        <f t="shared" si="23"/>
        <v>0</v>
      </c>
      <c r="AN30">
        <f t="shared" si="24"/>
        <v>0</v>
      </c>
      <c r="AO30">
        <f t="shared" si="25"/>
        <v>0</v>
      </c>
      <c r="AP30">
        <f t="shared" si="26"/>
        <v>0</v>
      </c>
      <c r="AQ30">
        <f t="shared" si="27"/>
        <v>0</v>
      </c>
      <c r="AR30">
        <f t="shared" si="28"/>
        <v>0</v>
      </c>
      <c r="AS30">
        <f t="shared" si="29"/>
        <v>0</v>
      </c>
      <c r="AT30">
        <f t="shared" si="30"/>
        <v>0</v>
      </c>
      <c r="AU30">
        <f t="shared" si="31"/>
        <v>0</v>
      </c>
    </row>
    <row r="31" spans="1:51" ht="23.1" customHeight="1" x14ac:dyDescent="0.3">
      <c r="A31" s="14" t="s">
        <v>37</v>
      </c>
      <c r="B31" s="14" t="s">
        <v>44</v>
      </c>
      <c r="C31" s="16" t="s">
        <v>24</v>
      </c>
      <c r="D31" s="17">
        <v>10</v>
      </c>
      <c r="E31" s="17"/>
      <c r="F31" s="17"/>
      <c r="G31" s="17"/>
      <c r="H31" s="17"/>
      <c r="I31" s="17"/>
      <c r="J31" s="17"/>
      <c r="K31" s="17"/>
      <c r="L31" s="17"/>
      <c r="M31" s="24"/>
      <c r="O31" t="str">
        <f>"04"</f>
        <v>04</v>
      </c>
      <c r="P31" s="11" t="s">
        <v>137</v>
      </c>
      <c r="Q31">
        <v>1</v>
      </c>
      <c r="R31">
        <f t="shared" si="2"/>
        <v>0</v>
      </c>
      <c r="S31">
        <f t="shared" si="3"/>
        <v>0</v>
      </c>
      <c r="T31">
        <f t="shared" si="4"/>
        <v>0</v>
      </c>
      <c r="U31">
        <f t="shared" si="5"/>
        <v>0</v>
      </c>
      <c r="V31">
        <f t="shared" si="6"/>
        <v>0</v>
      </c>
      <c r="W31">
        <f t="shared" si="7"/>
        <v>0</v>
      </c>
      <c r="X31">
        <f t="shared" si="8"/>
        <v>0</v>
      </c>
      <c r="Y31">
        <f t="shared" si="9"/>
        <v>0</v>
      </c>
      <c r="Z31">
        <f t="shared" si="10"/>
        <v>0</v>
      </c>
      <c r="AA31">
        <f t="shared" si="11"/>
        <v>0</v>
      </c>
      <c r="AB31">
        <f t="shared" si="12"/>
        <v>0</v>
      </c>
      <c r="AC31">
        <f t="shared" si="13"/>
        <v>0</v>
      </c>
      <c r="AD31">
        <f t="shared" si="14"/>
        <v>0</v>
      </c>
      <c r="AE31">
        <f t="shared" si="15"/>
        <v>0</v>
      </c>
      <c r="AF31">
        <f t="shared" si="16"/>
        <v>0</v>
      </c>
      <c r="AG31">
        <f t="shared" si="17"/>
        <v>0</v>
      </c>
      <c r="AH31">
        <f t="shared" si="18"/>
        <v>0</v>
      </c>
      <c r="AI31">
        <f t="shared" si="19"/>
        <v>0</v>
      </c>
      <c r="AJ31">
        <f t="shared" si="20"/>
        <v>0</v>
      </c>
      <c r="AK31">
        <f t="shared" si="21"/>
        <v>0</v>
      </c>
      <c r="AL31">
        <f t="shared" si="22"/>
        <v>0</v>
      </c>
      <c r="AM31">
        <f t="shared" si="23"/>
        <v>0</v>
      </c>
      <c r="AN31">
        <f t="shared" si="24"/>
        <v>0</v>
      </c>
      <c r="AO31">
        <f t="shared" si="25"/>
        <v>0</v>
      </c>
      <c r="AP31">
        <f t="shared" si="26"/>
        <v>0</v>
      </c>
      <c r="AQ31">
        <f t="shared" si="27"/>
        <v>0</v>
      </c>
      <c r="AR31">
        <f t="shared" si="28"/>
        <v>0</v>
      </c>
      <c r="AS31">
        <f t="shared" si="29"/>
        <v>0</v>
      </c>
      <c r="AT31">
        <f t="shared" si="30"/>
        <v>0</v>
      </c>
      <c r="AU31">
        <f t="shared" si="31"/>
        <v>0</v>
      </c>
    </row>
    <row r="32" spans="1:51" ht="23.1" customHeight="1" x14ac:dyDescent="0.3">
      <c r="A32" s="14" t="s">
        <v>37</v>
      </c>
      <c r="B32" s="14" t="s">
        <v>46</v>
      </c>
      <c r="C32" s="16" t="s">
        <v>24</v>
      </c>
      <c r="D32" s="17">
        <v>1</v>
      </c>
      <c r="E32" s="17"/>
      <c r="F32" s="17"/>
      <c r="G32" s="17"/>
      <c r="H32" s="17"/>
      <c r="I32" s="17"/>
      <c r="J32" s="17"/>
      <c r="K32" s="17"/>
      <c r="L32" s="17"/>
      <c r="M32" s="24"/>
      <c r="O32" t="str">
        <f>"04"</f>
        <v>04</v>
      </c>
      <c r="P32" s="11" t="s">
        <v>137</v>
      </c>
      <c r="Q32">
        <v>1</v>
      </c>
      <c r="R32">
        <f t="shared" si="2"/>
        <v>0</v>
      </c>
      <c r="S32">
        <f t="shared" si="3"/>
        <v>0</v>
      </c>
      <c r="T32">
        <f t="shared" si="4"/>
        <v>0</v>
      </c>
      <c r="U32">
        <f t="shared" si="5"/>
        <v>0</v>
      </c>
      <c r="V32">
        <f t="shared" si="6"/>
        <v>0</v>
      </c>
      <c r="W32">
        <f t="shared" si="7"/>
        <v>0</v>
      </c>
      <c r="X32">
        <f t="shared" si="8"/>
        <v>0</v>
      </c>
      <c r="Y32">
        <f t="shared" si="9"/>
        <v>0</v>
      </c>
      <c r="Z32">
        <f t="shared" si="10"/>
        <v>0</v>
      </c>
      <c r="AA32">
        <f t="shared" si="11"/>
        <v>0</v>
      </c>
      <c r="AB32">
        <f t="shared" si="12"/>
        <v>0</v>
      </c>
      <c r="AC32">
        <f t="shared" si="13"/>
        <v>0</v>
      </c>
      <c r="AD32">
        <f t="shared" si="14"/>
        <v>0</v>
      </c>
      <c r="AE32">
        <f t="shared" si="15"/>
        <v>0</v>
      </c>
      <c r="AF32">
        <f t="shared" si="16"/>
        <v>0</v>
      </c>
      <c r="AG32">
        <f t="shared" si="17"/>
        <v>0</v>
      </c>
      <c r="AH32">
        <f t="shared" si="18"/>
        <v>0</v>
      </c>
      <c r="AI32">
        <f t="shared" si="19"/>
        <v>0</v>
      </c>
      <c r="AJ32">
        <f t="shared" si="20"/>
        <v>0</v>
      </c>
      <c r="AK32">
        <f t="shared" si="21"/>
        <v>0</v>
      </c>
      <c r="AL32">
        <f t="shared" si="22"/>
        <v>0</v>
      </c>
      <c r="AM32">
        <f t="shared" si="23"/>
        <v>0</v>
      </c>
      <c r="AN32">
        <f t="shared" si="24"/>
        <v>0</v>
      </c>
      <c r="AO32">
        <f t="shared" si="25"/>
        <v>0</v>
      </c>
      <c r="AP32">
        <f t="shared" si="26"/>
        <v>0</v>
      </c>
      <c r="AQ32">
        <f t="shared" si="27"/>
        <v>0</v>
      </c>
      <c r="AR32">
        <f t="shared" si="28"/>
        <v>0</v>
      </c>
      <c r="AS32">
        <f t="shared" si="29"/>
        <v>0</v>
      </c>
      <c r="AT32">
        <f t="shared" si="30"/>
        <v>0</v>
      </c>
      <c r="AU32">
        <f t="shared" si="31"/>
        <v>0</v>
      </c>
    </row>
    <row r="33" spans="1:50" ht="23.1" customHeight="1" x14ac:dyDescent="0.3">
      <c r="A33" s="14" t="s">
        <v>37</v>
      </c>
      <c r="B33" s="14" t="s">
        <v>45</v>
      </c>
      <c r="C33" s="16" t="s">
        <v>24</v>
      </c>
      <c r="D33" s="17">
        <v>99</v>
      </c>
      <c r="E33" s="17"/>
      <c r="F33" s="17"/>
      <c r="G33" s="17"/>
      <c r="H33" s="17"/>
      <c r="I33" s="17"/>
      <c r="J33" s="17"/>
      <c r="K33" s="17"/>
      <c r="L33" s="17"/>
      <c r="M33" s="24"/>
      <c r="O33" t="str">
        <f>"04"</f>
        <v>04</v>
      </c>
      <c r="P33" s="11" t="s">
        <v>137</v>
      </c>
      <c r="Q33">
        <v>1</v>
      </c>
      <c r="R33">
        <f t="shared" si="2"/>
        <v>0</v>
      </c>
      <c r="S33">
        <f t="shared" si="3"/>
        <v>0</v>
      </c>
      <c r="T33">
        <f t="shared" si="4"/>
        <v>0</v>
      </c>
      <c r="U33">
        <f t="shared" si="5"/>
        <v>0</v>
      </c>
      <c r="V33">
        <f t="shared" si="6"/>
        <v>0</v>
      </c>
      <c r="W33">
        <f t="shared" si="7"/>
        <v>0</v>
      </c>
      <c r="X33">
        <f t="shared" si="8"/>
        <v>0</v>
      </c>
      <c r="Y33">
        <f t="shared" si="9"/>
        <v>0</v>
      </c>
      <c r="Z33">
        <f t="shared" si="10"/>
        <v>0</v>
      </c>
      <c r="AA33">
        <f t="shared" si="11"/>
        <v>0</v>
      </c>
      <c r="AB33">
        <f t="shared" si="12"/>
        <v>0</v>
      </c>
      <c r="AC33">
        <f t="shared" si="13"/>
        <v>0</v>
      </c>
      <c r="AD33">
        <f t="shared" si="14"/>
        <v>0</v>
      </c>
      <c r="AE33">
        <f t="shared" si="15"/>
        <v>0</v>
      </c>
      <c r="AF33">
        <f t="shared" si="16"/>
        <v>0</v>
      </c>
      <c r="AG33">
        <f t="shared" si="17"/>
        <v>0</v>
      </c>
      <c r="AH33">
        <f t="shared" si="18"/>
        <v>0</v>
      </c>
      <c r="AI33">
        <f t="shared" si="19"/>
        <v>0</v>
      </c>
      <c r="AJ33">
        <f t="shared" si="20"/>
        <v>0</v>
      </c>
      <c r="AK33">
        <f t="shared" si="21"/>
        <v>0</v>
      </c>
      <c r="AL33">
        <f t="shared" si="22"/>
        <v>0</v>
      </c>
      <c r="AM33">
        <f t="shared" si="23"/>
        <v>0</v>
      </c>
      <c r="AN33">
        <f t="shared" si="24"/>
        <v>0</v>
      </c>
      <c r="AO33">
        <f t="shared" si="25"/>
        <v>0</v>
      </c>
      <c r="AP33">
        <f t="shared" si="26"/>
        <v>0</v>
      </c>
      <c r="AQ33">
        <f t="shared" si="27"/>
        <v>0</v>
      </c>
      <c r="AR33">
        <f t="shared" si="28"/>
        <v>0</v>
      </c>
      <c r="AS33">
        <f t="shared" si="29"/>
        <v>0</v>
      </c>
      <c r="AT33">
        <f t="shared" si="30"/>
        <v>0</v>
      </c>
      <c r="AU33">
        <f t="shared" si="31"/>
        <v>0</v>
      </c>
    </row>
    <row r="34" spans="1:50" ht="23.1" customHeight="1" x14ac:dyDescent="0.3">
      <c r="A34" s="14" t="s">
        <v>264</v>
      </c>
      <c r="B34" s="15" t="str">
        <f>"관의 " &amp; N34*100 &amp; "%"</f>
        <v>관의 2%</v>
      </c>
      <c r="C34" s="16" t="s">
        <v>141</v>
      </c>
      <c r="D34" s="17">
        <v>1</v>
      </c>
      <c r="E34" s="17"/>
      <c r="F34" s="17"/>
      <c r="G34" s="17"/>
      <c r="H34" s="17"/>
      <c r="I34" s="17"/>
      <c r="J34" s="17"/>
      <c r="K34" s="17"/>
      <c r="L34" s="17"/>
      <c r="M34" s="17"/>
      <c r="N34">
        <v>0.02</v>
      </c>
      <c r="O34" t="str">
        <f>""</f>
        <v/>
      </c>
      <c r="P34" s="11" t="s">
        <v>137</v>
      </c>
      <c r="Q34">
        <v>1</v>
      </c>
      <c r="R34">
        <f t="shared" si="2"/>
        <v>0</v>
      </c>
      <c r="S34">
        <f t="shared" si="3"/>
        <v>0</v>
      </c>
      <c r="T34">
        <f t="shared" si="4"/>
        <v>0</v>
      </c>
      <c r="U34">
        <f t="shared" si="5"/>
        <v>0</v>
      </c>
      <c r="V34">
        <f t="shared" si="6"/>
        <v>0</v>
      </c>
      <c r="W34">
        <f t="shared" si="7"/>
        <v>0</v>
      </c>
      <c r="X34">
        <f t="shared" si="8"/>
        <v>0</v>
      </c>
      <c r="Y34">
        <f t="shared" si="9"/>
        <v>0</v>
      </c>
      <c r="Z34">
        <f t="shared" si="10"/>
        <v>0</v>
      </c>
      <c r="AA34">
        <f t="shared" si="11"/>
        <v>0</v>
      </c>
      <c r="AB34">
        <f t="shared" si="12"/>
        <v>0</v>
      </c>
      <c r="AC34">
        <f t="shared" si="13"/>
        <v>0</v>
      </c>
      <c r="AD34">
        <f t="shared" si="14"/>
        <v>0</v>
      </c>
      <c r="AE34">
        <f t="shared" si="15"/>
        <v>0</v>
      </c>
      <c r="AF34">
        <f t="shared" si="16"/>
        <v>0</v>
      </c>
      <c r="AG34">
        <f t="shared" si="17"/>
        <v>0</v>
      </c>
      <c r="AH34">
        <f t="shared" si="18"/>
        <v>0</v>
      </c>
      <c r="AI34">
        <f t="shared" si="19"/>
        <v>0</v>
      </c>
      <c r="AJ34">
        <f t="shared" si="20"/>
        <v>0</v>
      </c>
      <c r="AK34">
        <f t="shared" si="21"/>
        <v>0</v>
      </c>
      <c r="AL34">
        <f t="shared" si="22"/>
        <v>0</v>
      </c>
      <c r="AM34">
        <f t="shared" si="23"/>
        <v>0</v>
      </c>
      <c r="AN34">
        <f t="shared" si="24"/>
        <v>0</v>
      </c>
      <c r="AO34">
        <f t="shared" si="25"/>
        <v>0</v>
      </c>
      <c r="AP34">
        <f t="shared" si="26"/>
        <v>0</v>
      </c>
      <c r="AQ34">
        <f t="shared" si="27"/>
        <v>0</v>
      </c>
      <c r="AR34">
        <f t="shared" si="28"/>
        <v>0</v>
      </c>
      <c r="AS34">
        <f t="shared" si="29"/>
        <v>0</v>
      </c>
      <c r="AT34">
        <f t="shared" si="30"/>
        <v>0</v>
      </c>
      <c r="AU34">
        <f t="shared" si="31"/>
        <v>0</v>
      </c>
      <c r="AW34" s="11" t="s">
        <v>143</v>
      </c>
      <c r="AX34" s="11" t="s">
        <v>265</v>
      </c>
    </row>
    <row r="35" spans="1:50" ht="23.1" customHeight="1" x14ac:dyDescent="0.3">
      <c r="A35" s="14" t="s">
        <v>202</v>
      </c>
      <c r="B35" s="14" t="s">
        <v>203</v>
      </c>
      <c r="C35" s="16" t="s">
        <v>204</v>
      </c>
      <c r="D35" s="17">
        <v>35</v>
      </c>
      <c r="E35" s="17"/>
      <c r="F35" s="17"/>
      <c r="G35" s="17"/>
      <c r="H35" s="17"/>
      <c r="I35" s="17"/>
      <c r="J35" s="17"/>
      <c r="K35" s="17"/>
      <c r="L35" s="17"/>
      <c r="M35" s="24"/>
      <c r="O35" t="str">
        <f>""</f>
        <v/>
      </c>
      <c r="P35" s="11" t="s">
        <v>137</v>
      </c>
      <c r="Q35">
        <v>1</v>
      </c>
      <c r="R35">
        <f t="shared" si="2"/>
        <v>0</v>
      </c>
      <c r="S35">
        <f t="shared" si="3"/>
        <v>0</v>
      </c>
      <c r="T35">
        <f t="shared" si="4"/>
        <v>0</v>
      </c>
      <c r="U35">
        <f t="shared" si="5"/>
        <v>0</v>
      </c>
      <c r="V35">
        <f t="shared" si="6"/>
        <v>0</v>
      </c>
      <c r="W35">
        <f t="shared" si="7"/>
        <v>0</v>
      </c>
      <c r="X35">
        <f t="shared" si="8"/>
        <v>0</v>
      </c>
      <c r="Y35">
        <f t="shared" si="9"/>
        <v>0</v>
      </c>
      <c r="Z35">
        <f t="shared" si="10"/>
        <v>0</v>
      </c>
      <c r="AA35">
        <f t="shared" si="11"/>
        <v>0</v>
      </c>
      <c r="AB35">
        <f t="shared" si="12"/>
        <v>0</v>
      </c>
      <c r="AC35">
        <f t="shared" si="13"/>
        <v>0</v>
      </c>
      <c r="AD35">
        <f t="shared" si="14"/>
        <v>0</v>
      </c>
      <c r="AE35">
        <f t="shared" si="15"/>
        <v>0</v>
      </c>
      <c r="AF35">
        <f t="shared" si="16"/>
        <v>0</v>
      </c>
      <c r="AG35">
        <f t="shared" si="17"/>
        <v>0</v>
      </c>
      <c r="AH35">
        <f t="shared" si="18"/>
        <v>0</v>
      </c>
      <c r="AI35">
        <f t="shared" si="19"/>
        <v>0</v>
      </c>
      <c r="AJ35">
        <f t="shared" si="20"/>
        <v>0</v>
      </c>
      <c r="AK35">
        <f t="shared" si="21"/>
        <v>0</v>
      </c>
      <c r="AL35">
        <f t="shared" si="22"/>
        <v>0</v>
      </c>
      <c r="AM35">
        <f t="shared" si="23"/>
        <v>0</v>
      </c>
      <c r="AN35">
        <f t="shared" si="24"/>
        <v>0</v>
      </c>
      <c r="AO35">
        <f t="shared" si="25"/>
        <v>0</v>
      </c>
      <c r="AP35">
        <f t="shared" si="26"/>
        <v>0</v>
      </c>
      <c r="AQ35">
        <f t="shared" si="27"/>
        <v>0</v>
      </c>
      <c r="AR35">
        <f t="shared" si="28"/>
        <v>0</v>
      </c>
      <c r="AS35">
        <f t="shared" si="29"/>
        <v>0</v>
      </c>
      <c r="AT35">
        <f t="shared" si="30"/>
        <v>0</v>
      </c>
      <c r="AU35">
        <f t="shared" si="31"/>
        <v>0</v>
      </c>
    </row>
    <row r="36" spans="1:50" ht="23.1" customHeight="1" x14ac:dyDescent="0.3">
      <c r="A36" s="14" t="s">
        <v>50</v>
      </c>
      <c r="B36" s="14" t="s">
        <v>51</v>
      </c>
      <c r="C36" s="16" t="s">
        <v>32</v>
      </c>
      <c r="D36" s="17">
        <v>35</v>
      </c>
      <c r="E36" s="17"/>
      <c r="F36" s="17"/>
      <c r="G36" s="17"/>
      <c r="H36" s="17"/>
      <c r="I36" s="17"/>
      <c r="J36" s="17"/>
      <c r="K36" s="17"/>
      <c r="L36" s="17"/>
      <c r="M36" s="17"/>
      <c r="O36" t="str">
        <f t="shared" ref="O36:O48" si="32">"01"</f>
        <v>01</v>
      </c>
      <c r="P36" s="11" t="s">
        <v>137</v>
      </c>
      <c r="Q36">
        <v>1</v>
      </c>
      <c r="R36">
        <f t="shared" si="2"/>
        <v>0</v>
      </c>
      <c r="S36">
        <f t="shared" si="3"/>
        <v>0</v>
      </c>
      <c r="T36">
        <f t="shared" si="4"/>
        <v>0</v>
      </c>
      <c r="U36">
        <f t="shared" si="5"/>
        <v>0</v>
      </c>
      <c r="V36">
        <f t="shared" si="6"/>
        <v>0</v>
      </c>
      <c r="W36">
        <f t="shared" si="7"/>
        <v>0</v>
      </c>
      <c r="X36">
        <f t="shared" si="8"/>
        <v>0</v>
      </c>
      <c r="Y36">
        <f t="shared" si="9"/>
        <v>0</v>
      </c>
      <c r="Z36">
        <f t="shared" si="10"/>
        <v>0</v>
      </c>
      <c r="AA36">
        <f t="shared" si="11"/>
        <v>0</v>
      </c>
      <c r="AB36">
        <f t="shared" si="12"/>
        <v>0</v>
      </c>
      <c r="AC36">
        <f t="shared" si="13"/>
        <v>0</v>
      </c>
      <c r="AD36">
        <f t="shared" si="14"/>
        <v>0</v>
      </c>
      <c r="AE36">
        <f t="shared" si="15"/>
        <v>0</v>
      </c>
      <c r="AF36">
        <f t="shared" si="16"/>
        <v>0</v>
      </c>
      <c r="AG36">
        <f t="shared" si="17"/>
        <v>0</v>
      </c>
      <c r="AH36">
        <f t="shared" si="18"/>
        <v>0</v>
      </c>
      <c r="AI36">
        <f t="shared" si="19"/>
        <v>0</v>
      </c>
      <c r="AJ36">
        <f t="shared" si="20"/>
        <v>0</v>
      </c>
      <c r="AK36">
        <f t="shared" si="21"/>
        <v>0</v>
      </c>
      <c r="AL36">
        <f t="shared" si="22"/>
        <v>0</v>
      </c>
      <c r="AM36">
        <f t="shared" si="23"/>
        <v>0</v>
      </c>
      <c r="AN36">
        <f t="shared" si="24"/>
        <v>0</v>
      </c>
      <c r="AO36">
        <f t="shared" si="25"/>
        <v>0</v>
      </c>
      <c r="AP36">
        <f t="shared" si="26"/>
        <v>0</v>
      </c>
      <c r="AQ36">
        <f t="shared" si="27"/>
        <v>0</v>
      </c>
      <c r="AR36">
        <f t="shared" si="28"/>
        <v>0</v>
      </c>
      <c r="AS36">
        <f t="shared" si="29"/>
        <v>0</v>
      </c>
      <c r="AT36">
        <f t="shared" si="30"/>
        <v>0</v>
      </c>
      <c r="AU36">
        <f t="shared" si="31"/>
        <v>0</v>
      </c>
    </row>
    <row r="37" spans="1:50" ht="23.1" customHeight="1" x14ac:dyDescent="0.3">
      <c r="A37" s="14" t="s">
        <v>47</v>
      </c>
      <c r="B37" s="14" t="s">
        <v>48</v>
      </c>
      <c r="C37" s="16" t="s">
        <v>24</v>
      </c>
      <c r="D37" s="17">
        <v>99</v>
      </c>
      <c r="E37" s="17"/>
      <c r="F37" s="17"/>
      <c r="G37" s="17"/>
      <c r="H37" s="17"/>
      <c r="I37" s="17"/>
      <c r="J37" s="17"/>
      <c r="K37" s="17"/>
      <c r="L37" s="17"/>
      <c r="M37" s="17"/>
      <c r="O37" t="str">
        <f t="shared" si="32"/>
        <v>01</v>
      </c>
      <c r="P37" s="11" t="s">
        <v>137</v>
      </c>
      <c r="Q37">
        <v>1</v>
      </c>
      <c r="R37">
        <f t="shared" si="2"/>
        <v>0</v>
      </c>
      <c r="S37">
        <f t="shared" si="3"/>
        <v>0</v>
      </c>
      <c r="T37">
        <f t="shared" si="4"/>
        <v>0</v>
      </c>
      <c r="U37">
        <f t="shared" si="5"/>
        <v>0</v>
      </c>
      <c r="V37">
        <f t="shared" si="6"/>
        <v>0</v>
      </c>
      <c r="W37">
        <f t="shared" si="7"/>
        <v>0</v>
      </c>
      <c r="X37">
        <f t="shared" si="8"/>
        <v>0</v>
      </c>
      <c r="Y37">
        <f t="shared" si="9"/>
        <v>0</v>
      </c>
      <c r="Z37">
        <f t="shared" si="10"/>
        <v>0</v>
      </c>
      <c r="AA37">
        <f t="shared" si="11"/>
        <v>0</v>
      </c>
      <c r="AB37">
        <f t="shared" si="12"/>
        <v>0</v>
      </c>
      <c r="AC37">
        <f t="shared" si="13"/>
        <v>0</v>
      </c>
      <c r="AD37">
        <f t="shared" si="14"/>
        <v>0</v>
      </c>
      <c r="AE37">
        <f t="shared" si="15"/>
        <v>0</v>
      </c>
      <c r="AF37">
        <f t="shared" si="16"/>
        <v>0</v>
      </c>
      <c r="AG37">
        <f t="shared" si="17"/>
        <v>0</v>
      </c>
      <c r="AH37">
        <f t="shared" si="18"/>
        <v>0</v>
      </c>
      <c r="AI37">
        <f t="shared" si="19"/>
        <v>0</v>
      </c>
      <c r="AJ37">
        <f t="shared" si="20"/>
        <v>0</v>
      </c>
      <c r="AK37">
        <f t="shared" si="21"/>
        <v>0</v>
      </c>
      <c r="AL37">
        <f t="shared" si="22"/>
        <v>0</v>
      </c>
      <c r="AM37">
        <f t="shared" si="23"/>
        <v>0</v>
      </c>
      <c r="AN37">
        <f t="shared" si="24"/>
        <v>0</v>
      </c>
      <c r="AO37">
        <f t="shared" si="25"/>
        <v>0</v>
      </c>
      <c r="AP37">
        <f t="shared" si="26"/>
        <v>0</v>
      </c>
      <c r="AQ37">
        <f t="shared" si="27"/>
        <v>0</v>
      </c>
      <c r="AR37">
        <f t="shared" si="28"/>
        <v>0</v>
      </c>
      <c r="AS37">
        <f t="shared" si="29"/>
        <v>0</v>
      </c>
      <c r="AT37">
        <f t="shared" si="30"/>
        <v>0</v>
      </c>
      <c r="AU37">
        <f t="shared" si="31"/>
        <v>0</v>
      </c>
    </row>
    <row r="38" spans="1:50" ht="23.1" customHeight="1" x14ac:dyDescent="0.3">
      <c r="A38" s="14" t="s">
        <v>259</v>
      </c>
      <c r="B38" s="14" t="s">
        <v>266</v>
      </c>
      <c r="C38" s="16" t="s">
        <v>32</v>
      </c>
      <c r="D38" s="17">
        <v>19</v>
      </c>
      <c r="E38" s="17"/>
      <c r="F38" s="17"/>
      <c r="G38" s="17"/>
      <c r="H38" s="17"/>
      <c r="I38" s="17"/>
      <c r="J38" s="17"/>
      <c r="K38" s="17"/>
      <c r="L38" s="17"/>
      <c r="M38" s="17"/>
      <c r="O38" t="str">
        <f t="shared" si="32"/>
        <v>01</v>
      </c>
      <c r="P38" s="11" t="s">
        <v>137</v>
      </c>
      <c r="Q38">
        <v>1</v>
      </c>
      <c r="R38">
        <f t="shared" si="2"/>
        <v>0</v>
      </c>
      <c r="S38">
        <f t="shared" si="3"/>
        <v>0</v>
      </c>
      <c r="T38">
        <f t="shared" si="4"/>
        <v>0</v>
      </c>
      <c r="U38">
        <f t="shared" si="5"/>
        <v>0</v>
      </c>
      <c r="V38">
        <f t="shared" si="6"/>
        <v>0</v>
      </c>
      <c r="W38">
        <f t="shared" si="7"/>
        <v>0</v>
      </c>
      <c r="X38">
        <f t="shared" si="8"/>
        <v>0</v>
      </c>
      <c r="Y38">
        <f t="shared" si="9"/>
        <v>0</v>
      </c>
      <c r="Z38">
        <f t="shared" si="10"/>
        <v>0</v>
      </c>
      <c r="AA38">
        <f t="shared" si="11"/>
        <v>0</v>
      </c>
      <c r="AB38">
        <f t="shared" si="12"/>
        <v>0</v>
      </c>
      <c r="AC38">
        <f t="shared" si="13"/>
        <v>0</v>
      </c>
      <c r="AD38">
        <f t="shared" si="14"/>
        <v>0</v>
      </c>
      <c r="AE38">
        <f t="shared" si="15"/>
        <v>0</v>
      </c>
      <c r="AF38">
        <f t="shared" si="16"/>
        <v>0</v>
      </c>
      <c r="AG38">
        <f t="shared" si="17"/>
        <v>0</v>
      </c>
      <c r="AH38">
        <f t="shared" si="18"/>
        <v>0</v>
      </c>
      <c r="AI38">
        <f t="shared" si="19"/>
        <v>0</v>
      </c>
      <c r="AJ38">
        <f t="shared" si="20"/>
        <v>0</v>
      </c>
      <c r="AK38">
        <f t="shared" si="21"/>
        <v>0</v>
      </c>
      <c r="AL38">
        <f t="shared" si="22"/>
        <v>0</v>
      </c>
      <c r="AM38">
        <f t="shared" si="23"/>
        <v>0</v>
      </c>
      <c r="AN38">
        <f t="shared" si="24"/>
        <v>0</v>
      </c>
      <c r="AO38">
        <f t="shared" si="25"/>
        <v>0</v>
      </c>
      <c r="AP38">
        <f t="shared" si="26"/>
        <v>0</v>
      </c>
      <c r="AQ38">
        <f t="shared" si="27"/>
        <v>0</v>
      </c>
      <c r="AR38">
        <f t="shared" si="28"/>
        <v>0</v>
      </c>
      <c r="AS38">
        <f t="shared" si="29"/>
        <v>0</v>
      </c>
      <c r="AT38">
        <f t="shared" si="30"/>
        <v>0</v>
      </c>
      <c r="AU38">
        <f t="shared" si="31"/>
        <v>0</v>
      </c>
    </row>
    <row r="39" spans="1:50" ht="23.1" customHeight="1" x14ac:dyDescent="0.3">
      <c r="A39" s="14" t="s">
        <v>259</v>
      </c>
      <c r="B39" s="14" t="s">
        <v>267</v>
      </c>
      <c r="C39" s="16" t="s">
        <v>32</v>
      </c>
      <c r="D39" s="17">
        <v>7</v>
      </c>
      <c r="E39" s="17"/>
      <c r="F39" s="17"/>
      <c r="G39" s="17"/>
      <c r="H39" s="17"/>
      <c r="I39" s="17"/>
      <c r="J39" s="17"/>
      <c r="K39" s="17"/>
      <c r="L39" s="17"/>
      <c r="M39" s="17"/>
      <c r="O39" t="str">
        <f t="shared" si="32"/>
        <v>01</v>
      </c>
      <c r="P39" s="11" t="s">
        <v>137</v>
      </c>
      <c r="Q39">
        <v>1</v>
      </c>
      <c r="R39">
        <f t="shared" si="2"/>
        <v>0</v>
      </c>
      <c r="S39">
        <f t="shared" si="3"/>
        <v>0</v>
      </c>
      <c r="T39">
        <f t="shared" si="4"/>
        <v>0</v>
      </c>
      <c r="U39">
        <f t="shared" si="5"/>
        <v>0</v>
      </c>
      <c r="V39">
        <f t="shared" si="6"/>
        <v>0</v>
      </c>
      <c r="W39">
        <f t="shared" si="7"/>
        <v>0</v>
      </c>
      <c r="X39">
        <f t="shared" si="8"/>
        <v>0</v>
      </c>
      <c r="Y39">
        <f t="shared" si="9"/>
        <v>0</v>
      </c>
      <c r="Z39">
        <f t="shared" si="10"/>
        <v>0</v>
      </c>
      <c r="AA39">
        <f t="shared" si="11"/>
        <v>0</v>
      </c>
      <c r="AB39">
        <f t="shared" si="12"/>
        <v>0</v>
      </c>
      <c r="AC39">
        <f t="shared" si="13"/>
        <v>0</v>
      </c>
      <c r="AD39">
        <f t="shared" si="14"/>
        <v>0</v>
      </c>
      <c r="AE39">
        <f t="shared" si="15"/>
        <v>0</v>
      </c>
      <c r="AF39">
        <f t="shared" si="16"/>
        <v>0</v>
      </c>
      <c r="AG39">
        <f t="shared" si="17"/>
        <v>0</v>
      </c>
      <c r="AH39">
        <f t="shared" si="18"/>
        <v>0</v>
      </c>
      <c r="AI39">
        <f t="shared" si="19"/>
        <v>0</v>
      </c>
      <c r="AJ39">
        <f t="shared" si="20"/>
        <v>0</v>
      </c>
      <c r="AK39">
        <f t="shared" si="21"/>
        <v>0</v>
      </c>
      <c r="AL39">
        <f t="shared" si="22"/>
        <v>0</v>
      </c>
      <c r="AM39">
        <f t="shared" si="23"/>
        <v>0</v>
      </c>
      <c r="AN39">
        <f t="shared" si="24"/>
        <v>0</v>
      </c>
      <c r="AO39">
        <f t="shared" si="25"/>
        <v>0</v>
      </c>
      <c r="AP39">
        <f t="shared" si="26"/>
        <v>0</v>
      </c>
      <c r="AQ39">
        <f t="shared" si="27"/>
        <v>0</v>
      </c>
      <c r="AR39">
        <f t="shared" si="28"/>
        <v>0</v>
      </c>
      <c r="AS39">
        <f t="shared" si="29"/>
        <v>0</v>
      </c>
      <c r="AT39">
        <f t="shared" si="30"/>
        <v>0</v>
      </c>
      <c r="AU39">
        <f t="shared" si="31"/>
        <v>0</v>
      </c>
    </row>
    <row r="40" spans="1:50" ht="23.1" customHeight="1" x14ac:dyDescent="0.3">
      <c r="A40" s="14" t="s">
        <v>259</v>
      </c>
      <c r="B40" s="14" t="s">
        <v>268</v>
      </c>
      <c r="C40" s="16" t="s">
        <v>32</v>
      </c>
      <c r="D40" s="17">
        <v>21</v>
      </c>
      <c r="E40" s="17"/>
      <c r="F40" s="17"/>
      <c r="G40" s="17"/>
      <c r="H40" s="17"/>
      <c r="I40" s="17"/>
      <c r="J40" s="17"/>
      <c r="K40" s="17"/>
      <c r="L40" s="17"/>
      <c r="M40" s="17"/>
      <c r="O40" t="str">
        <f t="shared" si="32"/>
        <v>01</v>
      </c>
      <c r="P40" s="11" t="s">
        <v>137</v>
      </c>
      <c r="Q40">
        <v>1</v>
      </c>
      <c r="R40">
        <f t="shared" si="2"/>
        <v>0</v>
      </c>
      <c r="S40">
        <f t="shared" si="3"/>
        <v>0</v>
      </c>
      <c r="T40">
        <f t="shared" si="4"/>
        <v>0</v>
      </c>
      <c r="U40">
        <f t="shared" si="5"/>
        <v>0</v>
      </c>
      <c r="V40">
        <f t="shared" si="6"/>
        <v>0</v>
      </c>
      <c r="W40">
        <f t="shared" si="7"/>
        <v>0</v>
      </c>
      <c r="X40">
        <f t="shared" si="8"/>
        <v>0</v>
      </c>
      <c r="Y40">
        <f t="shared" si="9"/>
        <v>0</v>
      </c>
      <c r="Z40">
        <f t="shared" si="10"/>
        <v>0</v>
      </c>
      <c r="AA40">
        <f t="shared" si="11"/>
        <v>0</v>
      </c>
      <c r="AB40">
        <f t="shared" si="12"/>
        <v>0</v>
      </c>
      <c r="AC40">
        <f t="shared" si="13"/>
        <v>0</v>
      </c>
      <c r="AD40">
        <f t="shared" si="14"/>
        <v>0</v>
      </c>
      <c r="AE40">
        <f t="shared" si="15"/>
        <v>0</v>
      </c>
      <c r="AF40">
        <f t="shared" si="16"/>
        <v>0</v>
      </c>
      <c r="AG40">
        <f t="shared" si="17"/>
        <v>0</v>
      </c>
      <c r="AH40">
        <f t="shared" si="18"/>
        <v>0</v>
      </c>
      <c r="AI40">
        <f t="shared" si="19"/>
        <v>0</v>
      </c>
      <c r="AJ40">
        <f t="shared" si="20"/>
        <v>0</v>
      </c>
      <c r="AK40">
        <f t="shared" si="21"/>
        <v>0</v>
      </c>
      <c r="AL40">
        <f t="shared" si="22"/>
        <v>0</v>
      </c>
      <c r="AM40">
        <f t="shared" si="23"/>
        <v>0</v>
      </c>
      <c r="AN40">
        <f t="shared" si="24"/>
        <v>0</v>
      </c>
      <c r="AO40">
        <f t="shared" si="25"/>
        <v>0</v>
      </c>
      <c r="AP40">
        <f t="shared" si="26"/>
        <v>0</v>
      </c>
      <c r="AQ40">
        <f t="shared" si="27"/>
        <v>0</v>
      </c>
      <c r="AR40">
        <f t="shared" si="28"/>
        <v>0</v>
      </c>
      <c r="AS40">
        <f t="shared" si="29"/>
        <v>0</v>
      </c>
      <c r="AT40">
        <f t="shared" si="30"/>
        <v>0</v>
      </c>
      <c r="AU40">
        <f t="shared" si="31"/>
        <v>0</v>
      </c>
    </row>
    <row r="41" spans="1:50" ht="23.1" customHeight="1" x14ac:dyDescent="0.3">
      <c r="A41" s="14" t="s">
        <v>259</v>
      </c>
      <c r="B41" s="14" t="s">
        <v>269</v>
      </c>
      <c r="C41" s="16" t="s">
        <v>32</v>
      </c>
      <c r="D41" s="17">
        <v>1</v>
      </c>
      <c r="E41" s="17"/>
      <c r="F41" s="17"/>
      <c r="G41" s="17"/>
      <c r="H41" s="17"/>
      <c r="I41" s="17"/>
      <c r="J41" s="17"/>
      <c r="K41" s="17"/>
      <c r="L41" s="17"/>
      <c r="M41" s="17"/>
      <c r="O41" t="str">
        <f t="shared" si="32"/>
        <v>01</v>
      </c>
      <c r="P41" s="11" t="s">
        <v>137</v>
      </c>
      <c r="Q41">
        <v>1</v>
      </c>
      <c r="R41">
        <f t="shared" si="2"/>
        <v>0</v>
      </c>
      <c r="S41">
        <f t="shared" si="3"/>
        <v>0</v>
      </c>
      <c r="T41">
        <f t="shared" si="4"/>
        <v>0</v>
      </c>
      <c r="U41">
        <f t="shared" si="5"/>
        <v>0</v>
      </c>
      <c r="V41">
        <f t="shared" si="6"/>
        <v>0</v>
      </c>
      <c r="W41">
        <f t="shared" si="7"/>
        <v>0</v>
      </c>
      <c r="X41">
        <f t="shared" si="8"/>
        <v>0</v>
      </c>
      <c r="Y41">
        <f t="shared" si="9"/>
        <v>0</v>
      </c>
      <c r="Z41">
        <f t="shared" si="10"/>
        <v>0</v>
      </c>
      <c r="AA41">
        <f t="shared" si="11"/>
        <v>0</v>
      </c>
      <c r="AB41">
        <f t="shared" si="12"/>
        <v>0</v>
      </c>
      <c r="AC41">
        <f t="shared" si="13"/>
        <v>0</v>
      </c>
      <c r="AD41">
        <f t="shared" si="14"/>
        <v>0</v>
      </c>
      <c r="AE41">
        <f t="shared" si="15"/>
        <v>0</v>
      </c>
      <c r="AF41">
        <f t="shared" si="16"/>
        <v>0</v>
      </c>
      <c r="AG41">
        <f t="shared" si="17"/>
        <v>0</v>
      </c>
      <c r="AH41">
        <f t="shared" si="18"/>
        <v>0</v>
      </c>
      <c r="AI41">
        <f t="shared" si="19"/>
        <v>0</v>
      </c>
      <c r="AJ41">
        <f t="shared" si="20"/>
        <v>0</v>
      </c>
      <c r="AK41">
        <f t="shared" si="21"/>
        <v>0</v>
      </c>
      <c r="AL41">
        <f t="shared" si="22"/>
        <v>0</v>
      </c>
      <c r="AM41">
        <f t="shared" si="23"/>
        <v>0</v>
      </c>
      <c r="AN41">
        <f t="shared" si="24"/>
        <v>0</v>
      </c>
      <c r="AO41">
        <f t="shared" si="25"/>
        <v>0</v>
      </c>
      <c r="AP41">
        <f t="shared" si="26"/>
        <v>0</v>
      </c>
      <c r="AQ41">
        <f t="shared" si="27"/>
        <v>0</v>
      </c>
      <c r="AR41">
        <f t="shared" si="28"/>
        <v>0</v>
      </c>
      <c r="AS41">
        <f t="shared" si="29"/>
        <v>0</v>
      </c>
      <c r="AT41">
        <f t="shared" si="30"/>
        <v>0</v>
      </c>
      <c r="AU41">
        <f t="shared" si="31"/>
        <v>0</v>
      </c>
    </row>
    <row r="42" spans="1:50" ht="23.1" customHeight="1" x14ac:dyDescent="0.3">
      <c r="A42" s="14" t="s">
        <v>74</v>
      </c>
      <c r="B42" s="14" t="s">
        <v>81</v>
      </c>
      <c r="C42" s="16" t="s">
        <v>76</v>
      </c>
      <c r="D42" s="17">
        <v>1</v>
      </c>
      <c r="E42" s="17"/>
      <c r="F42" s="17"/>
      <c r="G42" s="17"/>
      <c r="H42" s="17"/>
      <c r="I42" s="17"/>
      <c r="J42" s="17"/>
      <c r="K42" s="17"/>
      <c r="L42" s="17"/>
      <c r="M42" s="17"/>
      <c r="O42" t="str">
        <f t="shared" si="32"/>
        <v>01</v>
      </c>
      <c r="P42" s="11" t="s">
        <v>137</v>
      </c>
      <c r="Q42">
        <v>1</v>
      </c>
      <c r="R42">
        <f t="shared" si="2"/>
        <v>0</v>
      </c>
      <c r="S42">
        <f t="shared" si="3"/>
        <v>0</v>
      </c>
      <c r="T42">
        <f t="shared" si="4"/>
        <v>0</v>
      </c>
      <c r="U42">
        <f t="shared" si="5"/>
        <v>0</v>
      </c>
      <c r="V42">
        <f t="shared" si="6"/>
        <v>0</v>
      </c>
      <c r="W42">
        <f t="shared" si="7"/>
        <v>0</v>
      </c>
      <c r="X42">
        <f t="shared" si="8"/>
        <v>0</v>
      </c>
      <c r="Y42">
        <f t="shared" si="9"/>
        <v>0</v>
      </c>
      <c r="Z42">
        <f t="shared" si="10"/>
        <v>0</v>
      </c>
      <c r="AA42">
        <f t="shared" si="11"/>
        <v>0</v>
      </c>
      <c r="AB42">
        <f t="shared" si="12"/>
        <v>0</v>
      </c>
      <c r="AC42">
        <f t="shared" si="13"/>
        <v>0</v>
      </c>
      <c r="AD42">
        <f t="shared" si="14"/>
        <v>0</v>
      </c>
      <c r="AE42">
        <f t="shared" si="15"/>
        <v>0</v>
      </c>
      <c r="AF42">
        <f t="shared" si="16"/>
        <v>0</v>
      </c>
      <c r="AG42">
        <f t="shared" si="17"/>
        <v>0</v>
      </c>
      <c r="AH42">
        <f t="shared" si="18"/>
        <v>0</v>
      </c>
      <c r="AI42">
        <f t="shared" si="19"/>
        <v>0</v>
      </c>
      <c r="AJ42">
        <f t="shared" si="20"/>
        <v>0</v>
      </c>
      <c r="AK42">
        <f t="shared" si="21"/>
        <v>0</v>
      </c>
      <c r="AL42">
        <f t="shared" si="22"/>
        <v>0</v>
      </c>
      <c r="AM42">
        <f t="shared" si="23"/>
        <v>0</v>
      </c>
      <c r="AN42">
        <f t="shared" si="24"/>
        <v>0</v>
      </c>
      <c r="AO42">
        <f t="shared" si="25"/>
        <v>0</v>
      </c>
      <c r="AP42">
        <f t="shared" si="26"/>
        <v>0</v>
      </c>
      <c r="AQ42">
        <f t="shared" si="27"/>
        <v>0</v>
      </c>
      <c r="AR42">
        <f t="shared" si="28"/>
        <v>0</v>
      </c>
      <c r="AS42">
        <f t="shared" si="29"/>
        <v>0</v>
      </c>
      <c r="AT42">
        <f t="shared" si="30"/>
        <v>0</v>
      </c>
      <c r="AU42">
        <f t="shared" si="31"/>
        <v>0</v>
      </c>
    </row>
    <row r="43" spans="1:50" ht="23.1" customHeight="1" x14ac:dyDescent="0.3">
      <c r="A43" s="14" t="s">
        <v>74</v>
      </c>
      <c r="B43" s="14" t="s">
        <v>82</v>
      </c>
      <c r="C43" s="16" t="s">
        <v>76</v>
      </c>
      <c r="D43" s="17">
        <v>1</v>
      </c>
      <c r="E43" s="17"/>
      <c r="F43" s="17"/>
      <c r="G43" s="17"/>
      <c r="H43" s="17"/>
      <c r="I43" s="17"/>
      <c r="J43" s="17"/>
      <c r="K43" s="17"/>
      <c r="L43" s="17"/>
      <c r="M43" s="17"/>
      <c r="O43" t="str">
        <f t="shared" si="32"/>
        <v>01</v>
      </c>
      <c r="P43" s="11" t="s">
        <v>137</v>
      </c>
      <c r="Q43">
        <v>1</v>
      </c>
      <c r="R43">
        <f t="shared" si="2"/>
        <v>0</v>
      </c>
      <c r="S43">
        <f t="shared" si="3"/>
        <v>0</v>
      </c>
      <c r="T43">
        <f t="shared" si="4"/>
        <v>0</v>
      </c>
      <c r="U43">
        <f t="shared" si="5"/>
        <v>0</v>
      </c>
      <c r="V43">
        <f t="shared" si="6"/>
        <v>0</v>
      </c>
      <c r="W43">
        <f t="shared" si="7"/>
        <v>0</v>
      </c>
      <c r="X43">
        <f t="shared" si="8"/>
        <v>0</v>
      </c>
      <c r="Y43">
        <f t="shared" si="9"/>
        <v>0</v>
      </c>
      <c r="Z43">
        <f t="shared" si="10"/>
        <v>0</v>
      </c>
      <c r="AA43">
        <f t="shared" si="11"/>
        <v>0</v>
      </c>
      <c r="AB43">
        <f t="shared" si="12"/>
        <v>0</v>
      </c>
      <c r="AC43">
        <f t="shared" si="13"/>
        <v>0</v>
      </c>
      <c r="AD43">
        <f t="shared" si="14"/>
        <v>0</v>
      </c>
      <c r="AE43">
        <f t="shared" si="15"/>
        <v>0</v>
      </c>
      <c r="AF43">
        <f t="shared" si="16"/>
        <v>0</v>
      </c>
      <c r="AG43">
        <f t="shared" si="17"/>
        <v>0</v>
      </c>
      <c r="AH43">
        <f t="shared" si="18"/>
        <v>0</v>
      </c>
      <c r="AI43">
        <f t="shared" si="19"/>
        <v>0</v>
      </c>
      <c r="AJ43">
        <f t="shared" si="20"/>
        <v>0</v>
      </c>
      <c r="AK43">
        <f t="shared" si="21"/>
        <v>0</v>
      </c>
      <c r="AL43">
        <f t="shared" si="22"/>
        <v>0</v>
      </c>
      <c r="AM43">
        <f t="shared" si="23"/>
        <v>0</v>
      </c>
      <c r="AN43">
        <f t="shared" si="24"/>
        <v>0</v>
      </c>
      <c r="AO43">
        <f t="shared" si="25"/>
        <v>0</v>
      </c>
      <c r="AP43">
        <f t="shared" si="26"/>
        <v>0</v>
      </c>
      <c r="AQ43">
        <f t="shared" si="27"/>
        <v>0</v>
      </c>
      <c r="AR43">
        <f t="shared" si="28"/>
        <v>0</v>
      </c>
      <c r="AS43">
        <f t="shared" si="29"/>
        <v>0</v>
      </c>
      <c r="AT43">
        <f t="shared" si="30"/>
        <v>0</v>
      </c>
      <c r="AU43">
        <f t="shared" si="31"/>
        <v>0</v>
      </c>
    </row>
    <row r="44" spans="1:50" ht="23.1" customHeight="1" x14ac:dyDescent="0.3">
      <c r="A44" s="14" t="s">
        <v>74</v>
      </c>
      <c r="B44" s="14" t="s">
        <v>83</v>
      </c>
      <c r="C44" s="16" t="s">
        <v>76</v>
      </c>
      <c r="D44" s="17">
        <v>20</v>
      </c>
      <c r="E44" s="17"/>
      <c r="F44" s="17"/>
      <c r="G44" s="17"/>
      <c r="H44" s="17"/>
      <c r="I44" s="17"/>
      <c r="J44" s="17"/>
      <c r="K44" s="17"/>
      <c r="L44" s="17"/>
      <c r="M44" s="17"/>
      <c r="O44" t="str">
        <f t="shared" si="32"/>
        <v>01</v>
      </c>
      <c r="P44" s="11" t="s">
        <v>137</v>
      </c>
      <c r="Q44">
        <v>1</v>
      </c>
      <c r="R44">
        <f t="shared" si="2"/>
        <v>0</v>
      </c>
      <c r="S44">
        <f t="shared" si="3"/>
        <v>0</v>
      </c>
      <c r="T44">
        <f t="shared" si="4"/>
        <v>0</v>
      </c>
      <c r="U44">
        <f t="shared" si="5"/>
        <v>0</v>
      </c>
      <c r="V44">
        <f t="shared" si="6"/>
        <v>0</v>
      </c>
      <c r="W44">
        <f t="shared" si="7"/>
        <v>0</v>
      </c>
      <c r="X44">
        <f t="shared" si="8"/>
        <v>0</v>
      </c>
      <c r="Y44">
        <f t="shared" si="9"/>
        <v>0</v>
      </c>
      <c r="Z44">
        <f t="shared" si="10"/>
        <v>0</v>
      </c>
      <c r="AA44">
        <f t="shared" si="11"/>
        <v>0</v>
      </c>
      <c r="AB44">
        <f t="shared" si="12"/>
        <v>0</v>
      </c>
      <c r="AC44">
        <f t="shared" si="13"/>
        <v>0</v>
      </c>
      <c r="AD44">
        <f t="shared" si="14"/>
        <v>0</v>
      </c>
      <c r="AE44">
        <f t="shared" si="15"/>
        <v>0</v>
      </c>
      <c r="AF44">
        <f t="shared" si="16"/>
        <v>0</v>
      </c>
      <c r="AG44">
        <f t="shared" si="17"/>
        <v>0</v>
      </c>
      <c r="AH44">
        <f t="shared" si="18"/>
        <v>0</v>
      </c>
      <c r="AI44">
        <f t="shared" si="19"/>
        <v>0</v>
      </c>
      <c r="AJ44">
        <f t="shared" si="20"/>
        <v>0</v>
      </c>
      <c r="AK44">
        <f t="shared" si="21"/>
        <v>0</v>
      </c>
      <c r="AL44">
        <f t="shared" si="22"/>
        <v>0</v>
      </c>
      <c r="AM44">
        <f t="shared" si="23"/>
        <v>0</v>
      </c>
      <c r="AN44">
        <f t="shared" si="24"/>
        <v>0</v>
      </c>
      <c r="AO44">
        <f t="shared" si="25"/>
        <v>0</v>
      </c>
      <c r="AP44">
        <f t="shared" si="26"/>
        <v>0</v>
      </c>
      <c r="AQ44">
        <f t="shared" si="27"/>
        <v>0</v>
      </c>
      <c r="AR44">
        <f t="shared" si="28"/>
        <v>0</v>
      </c>
      <c r="AS44">
        <f t="shared" si="29"/>
        <v>0</v>
      </c>
      <c r="AT44">
        <f t="shared" si="30"/>
        <v>0</v>
      </c>
      <c r="AU44">
        <f t="shared" si="31"/>
        <v>0</v>
      </c>
    </row>
    <row r="45" spans="1:50" ht="23.1" customHeight="1" x14ac:dyDescent="0.3">
      <c r="A45" s="14" t="s">
        <v>74</v>
      </c>
      <c r="B45" s="14" t="s">
        <v>75</v>
      </c>
      <c r="C45" s="16" t="s">
        <v>76</v>
      </c>
      <c r="D45" s="17">
        <v>12</v>
      </c>
      <c r="E45" s="17"/>
      <c r="F45" s="17"/>
      <c r="G45" s="17"/>
      <c r="H45" s="17"/>
      <c r="I45" s="17"/>
      <c r="J45" s="17"/>
      <c r="K45" s="17"/>
      <c r="L45" s="17"/>
      <c r="M45" s="17"/>
      <c r="O45" t="str">
        <f t="shared" si="32"/>
        <v>01</v>
      </c>
      <c r="P45" s="11" t="s">
        <v>137</v>
      </c>
      <c r="Q45">
        <v>1</v>
      </c>
      <c r="R45">
        <f t="shared" si="2"/>
        <v>0</v>
      </c>
      <c r="S45">
        <f t="shared" si="3"/>
        <v>0</v>
      </c>
      <c r="T45">
        <f t="shared" si="4"/>
        <v>0</v>
      </c>
      <c r="U45">
        <f t="shared" si="5"/>
        <v>0</v>
      </c>
      <c r="V45">
        <f t="shared" si="6"/>
        <v>0</v>
      </c>
      <c r="W45">
        <f t="shared" si="7"/>
        <v>0</v>
      </c>
      <c r="X45">
        <f t="shared" si="8"/>
        <v>0</v>
      </c>
      <c r="Y45">
        <f t="shared" si="9"/>
        <v>0</v>
      </c>
      <c r="Z45">
        <f t="shared" si="10"/>
        <v>0</v>
      </c>
      <c r="AA45">
        <f t="shared" si="11"/>
        <v>0</v>
      </c>
      <c r="AB45">
        <f t="shared" si="12"/>
        <v>0</v>
      </c>
      <c r="AC45">
        <f t="shared" si="13"/>
        <v>0</v>
      </c>
      <c r="AD45">
        <f t="shared" si="14"/>
        <v>0</v>
      </c>
      <c r="AE45">
        <f t="shared" si="15"/>
        <v>0</v>
      </c>
      <c r="AF45">
        <f t="shared" si="16"/>
        <v>0</v>
      </c>
      <c r="AG45">
        <f t="shared" si="17"/>
        <v>0</v>
      </c>
      <c r="AH45">
        <f t="shared" si="18"/>
        <v>0</v>
      </c>
      <c r="AI45">
        <f t="shared" si="19"/>
        <v>0</v>
      </c>
      <c r="AJ45">
        <f t="shared" si="20"/>
        <v>0</v>
      </c>
      <c r="AK45">
        <f t="shared" si="21"/>
        <v>0</v>
      </c>
      <c r="AL45">
        <f t="shared" si="22"/>
        <v>0</v>
      </c>
      <c r="AM45">
        <f t="shared" si="23"/>
        <v>0</v>
      </c>
      <c r="AN45">
        <f t="shared" si="24"/>
        <v>0</v>
      </c>
      <c r="AO45">
        <f t="shared" si="25"/>
        <v>0</v>
      </c>
      <c r="AP45">
        <f t="shared" si="26"/>
        <v>0</v>
      </c>
      <c r="AQ45">
        <f t="shared" si="27"/>
        <v>0</v>
      </c>
      <c r="AR45">
        <f t="shared" si="28"/>
        <v>0</v>
      </c>
      <c r="AS45">
        <f t="shared" si="29"/>
        <v>0</v>
      </c>
      <c r="AT45">
        <f t="shared" si="30"/>
        <v>0</v>
      </c>
      <c r="AU45">
        <f t="shared" si="31"/>
        <v>0</v>
      </c>
    </row>
    <row r="46" spans="1:50" ht="23.1" customHeight="1" x14ac:dyDescent="0.3">
      <c r="A46" s="14" t="s">
        <v>74</v>
      </c>
      <c r="B46" s="14" t="s">
        <v>78</v>
      </c>
      <c r="C46" s="16" t="s">
        <v>76</v>
      </c>
      <c r="D46" s="17">
        <v>10</v>
      </c>
      <c r="E46" s="17"/>
      <c r="F46" s="17"/>
      <c r="G46" s="17"/>
      <c r="H46" s="17"/>
      <c r="I46" s="17"/>
      <c r="J46" s="17"/>
      <c r="K46" s="17"/>
      <c r="L46" s="17"/>
      <c r="M46" s="17"/>
      <c r="O46" t="str">
        <f t="shared" si="32"/>
        <v>01</v>
      </c>
      <c r="P46" s="11" t="s">
        <v>137</v>
      </c>
      <c r="Q46">
        <v>1</v>
      </c>
      <c r="R46">
        <f t="shared" si="2"/>
        <v>0</v>
      </c>
      <c r="S46">
        <f t="shared" si="3"/>
        <v>0</v>
      </c>
      <c r="T46">
        <f t="shared" si="4"/>
        <v>0</v>
      </c>
      <c r="U46">
        <f t="shared" si="5"/>
        <v>0</v>
      </c>
      <c r="V46">
        <f t="shared" si="6"/>
        <v>0</v>
      </c>
      <c r="W46">
        <f t="shared" si="7"/>
        <v>0</v>
      </c>
      <c r="X46">
        <f t="shared" si="8"/>
        <v>0</v>
      </c>
      <c r="Y46">
        <f t="shared" si="9"/>
        <v>0</v>
      </c>
      <c r="Z46">
        <f t="shared" si="10"/>
        <v>0</v>
      </c>
      <c r="AA46">
        <f t="shared" si="11"/>
        <v>0</v>
      </c>
      <c r="AB46">
        <f t="shared" si="12"/>
        <v>0</v>
      </c>
      <c r="AC46">
        <f t="shared" si="13"/>
        <v>0</v>
      </c>
      <c r="AD46">
        <f t="shared" si="14"/>
        <v>0</v>
      </c>
      <c r="AE46">
        <f t="shared" si="15"/>
        <v>0</v>
      </c>
      <c r="AF46">
        <f t="shared" si="16"/>
        <v>0</v>
      </c>
      <c r="AG46">
        <f t="shared" si="17"/>
        <v>0</v>
      </c>
      <c r="AH46">
        <f t="shared" si="18"/>
        <v>0</v>
      </c>
      <c r="AI46">
        <f t="shared" si="19"/>
        <v>0</v>
      </c>
      <c r="AJ46">
        <f t="shared" si="20"/>
        <v>0</v>
      </c>
      <c r="AK46">
        <f t="shared" si="21"/>
        <v>0</v>
      </c>
      <c r="AL46">
        <f t="shared" si="22"/>
        <v>0</v>
      </c>
      <c r="AM46">
        <f t="shared" si="23"/>
        <v>0</v>
      </c>
      <c r="AN46">
        <f t="shared" si="24"/>
        <v>0</v>
      </c>
      <c r="AO46">
        <f t="shared" si="25"/>
        <v>0</v>
      </c>
      <c r="AP46">
        <f t="shared" si="26"/>
        <v>0</v>
      </c>
      <c r="AQ46">
        <f t="shared" si="27"/>
        <v>0</v>
      </c>
      <c r="AR46">
        <f t="shared" si="28"/>
        <v>0</v>
      </c>
      <c r="AS46">
        <f t="shared" si="29"/>
        <v>0</v>
      </c>
      <c r="AT46">
        <f t="shared" si="30"/>
        <v>0</v>
      </c>
      <c r="AU46">
        <f t="shared" si="31"/>
        <v>0</v>
      </c>
    </row>
    <row r="47" spans="1:50" ht="23.1" customHeight="1" x14ac:dyDescent="0.3">
      <c r="A47" s="14" t="s">
        <v>74</v>
      </c>
      <c r="B47" s="14" t="s">
        <v>79</v>
      </c>
      <c r="C47" s="16" t="s">
        <v>76</v>
      </c>
      <c r="D47" s="17">
        <v>5</v>
      </c>
      <c r="E47" s="17"/>
      <c r="F47" s="17"/>
      <c r="G47" s="17"/>
      <c r="H47" s="17"/>
      <c r="I47" s="17"/>
      <c r="J47" s="17"/>
      <c r="K47" s="17"/>
      <c r="L47" s="17"/>
      <c r="M47" s="17"/>
      <c r="O47" t="str">
        <f t="shared" si="32"/>
        <v>01</v>
      </c>
      <c r="P47" s="11" t="s">
        <v>137</v>
      </c>
      <c r="Q47">
        <v>1</v>
      </c>
      <c r="R47">
        <f t="shared" si="2"/>
        <v>0</v>
      </c>
      <c r="S47">
        <f t="shared" si="3"/>
        <v>0</v>
      </c>
      <c r="T47">
        <f t="shared" si="4"/>
        <v>0</v>
      </c>
      <c r="U47">
        <f t="shared" si="5"/>
        <v>0</v>
      </c>
      <c r="V47">
        <f t="shared" si="6"/>
        <v>0</v>
      </c>
      <c r="W47">
        <f t="shared" si="7"/>
        <v>0</v>
      </c>
      <c r="X47">
        <f t="shared" si="8"/>
        <v>0</v>
      </c>
      <c r="Y47">
        <f t="shared" si="9"/>
        <v>0</v>
      </c>
      <c r="Z47">
        <f t="shared" si="10"/>
        <v>0</v>
      </c>
      <c r="AA47">
        <f t="shared" si="11"/>
        <v>0</v>
      </c>
      <c r="AB47">
        <f t="shared" si="12"/>
        <v>0</v>
      </c>
      <c r="AC47">
        <f t="shared" si="13"/>
        <v>0</v>
      </c>
      <c r="AD47">
        <f t="shared" si="14"/>
        <v>0</v>
      </c>
      <c r="AE47">
        <f t="shared" si="15"/>
        <v>0</v>
      </c>
      <c r="AF47">
        <f t="shared" si="16"/>
        <v>0</v>
      </c>
      <c r="AG47">
        <f t="shared" si="17"/>
        <v>0</v>
      </c>
      <c r="AH47">
        <f t="shared" si="18"/>
        <v>0</v>
      </c>
      <c r="AI47">
        <f t="shared" si="19"/>
        <v>0</v>
      </c>
      <c r="AJ47">
        <f t="shared" si="20"/>
        <v>0</v>
      </c>
      <c r="AK47">
        <f t="shared" si="21"/>
        <v>0</v>
      </c>
      <c r="AL47">
        <f t="shared" si="22"/>
        <v>0</v>
      </c>
      <c r="AM47">
        <f t="shared" si="23"/>
        <v>0</v>
      </c>
      <c r="AN47">
        <f t="shared" si="24"/>
        <v>0</v>
      </c>
      <c r="AO47">
        <f t="shared" si="25"/>
        <v>0</v>
      </c>
      <c r="AP47">
        <f t="shared" si="26"/>
        <v>0</v>
      </c>
      <c r="AQ47">
        <f t="shared" si="27"/>
        <v>0</v>
      </c>
      <c r="AR47">
        <f t="shared" si="28"/>
        <v>0</v>
      </c>
      <c r="AS47">
        <f t="shared" si="29"/>
        <v>0</v>
      </c>
      <c r="AT47">
        <f t="shared" si="30"/>
        <v>0</v>
      </c>
      <c r="AU47">
        <f t="shared" si="31"/>
        <v>0</v>
      </c>
    </row>
    <row r="48" spans="1:50" ht="23.1" customHeight="1" x14ac:dyDescent="0.3">
      <c r="A48" s="14" t="s">
        <v>74</v>
      </c>
      <c r="B48" s="14" t="s">
        <v>80</v>
      </c>
      <c r="C48" s="16" t="s">
        <v>76</v>
      </c>
      <c r="D48" s="17">
        <v>2</v>
      </c>
      <c r="E48" s="17"/>
      <c r="F48" s="17"/>
      <c r="G48" s="17"/>
      <c r="H48" s="17"/>
      <c r="I48" s="17"/>
      <c r="J48" s="17"/>
      <c r="K48" s="17"/>
      <c r="L48" s="17"/>
      <c r="M48" s="17"/>
      <c r="O48" t="str">
        <f t="shared" si="32"/>
        <v>01</v>
      </c>
      <c r="P48" s="11" t="s">
        <v>137</v>
      </c>
      <c r="Q48">
        <v>1</v>
      </c>
      <c r="R48">
        <f t="shared" si="2"/>
        <v>0</v>
      </c>
      <c r="S48">
        <f t="shared" si="3"/>
        <v>0</v>
      </c>
      <c r="T48">
        <f t="shared" si="4"/>
        <v>0</v>
      </c>
      <c r="U48">
        <f t="shared" si="5"/>
        <v>0</v>
      </c>
      <c r="V48">
        <f t="shared" si="6"/>
        <v>0</v>
      </c>
      <c r="W48">
        <f t="shared" si="7"/>
        <v>0</v>
      </c>
      <c r="X48">
        <f t="shared" si="8"/>
        <v>0</v>
      </c>
      <c r="Y48">
        <f t="shared" si="9"/>
        <v>0</v>
      </c>
      <c r="Z48">
        <f t="shared" si="10"/>
        <v>0</v>
      </c>
      <c r="AA48">
        <f t="shared" si="11"/>
        <v>0</v>
      </c>
      <c r="AB48">
        <f t="shared" si="12"/>
        <v>0</v>
      </c>
      <c r="AC48">
        <f t="shared" si="13"/>
        <v>0</v>
      </c>
      <c r="AD48">
        <f t="shared" si="14"/>
        <v>0</v>
      </c>
      <c r="AE48">
        <f t="shared" si="15"/>
        <v>0</v>
      </c>
      <c r="AF48">
        <f t="shared" si="16"/>
        <v>0</v>
      </c>
      <c r="AG48">
        <f t="shared" si="17"/>
        <v>0</v>
      </c>
      <c r="AH48">
        <f t="shared" si="18"/>
        <v>0</v>
      </c>
      <c r="AI48">
        <f t="shared" si="19"/>
        <v>0</v>
      </c>
      <c r="AJ48">
        <f t="shared" si="20"/>
        <v>0</v>
      </c>
      <c r="AK48">
        <f t="shared" si="21"/>
        <v>0</v>
      </c>
      <c r="AL48">
        <f t="shared" si="22"/>
        <v>0</v>
      </c>
      <c r="AM48">
        <f t="shared" si="23"/>
        <v>0</v>
      </c>
      <c r="AN48">
        <f t="shared" si="24"/>
        <v>0</v>
      </c>
      <c r="AO48">
        <f t="shared" si="25"/>
        <v>0</v>
      </c>
      <c r="AP48">
        <f t="shared" si="26"/>
        <v>0</v>
      </c>
      <c r="AQ48">
        <f t="shared" si="27"/>
        <v>0</v>
      </c>
      <c r="AR48">
        <f t="shared" si="28"/>
        <v>0</v>
      </c>
      <c r="AS48">
        <f t="shared" si="29"/>
        <v>0</v>
      </c>
      <c r="AT48">
        <f t="shared" si="30"/>
        <v>0</v>
      </c>
      <c r="AU48">
        <f t="shared" si="31"/>
        <v>0</v>
      </c>
    </row>
    <row r="49" spans="1:51" ht="23.1" customHeight="1" x14ac:dyDescent="0.3">
      <c r="A49" s="14" t="s">
        <v>206</v>
      </c>
      <c r="B49" s="14" t="s">
        <v>207</v>
      </c>
      <c r="C49" s="16" t="s">
        <v>208</v>
      </c>
      <c r="D49" s="17">
        <v>12</v>
      </c>
      <c r="E49" s="17"/>
      <c r="F49" s="17"/>
      <c r="G49" s="17"/>
      <c r="H49" s="17"/>
      <c r="I49" s="17"/>
      <c r="J49" s="17"/>
      <c r="K49" s="17"/>
      <c r="L49" s="17"/>
      <c r="M49" s="24"/>
      <c r="O49" t="str">
        <f>""</f>
        <v/>
      </c>
      <c r="P49" s="11" t="s">
        <v>137</v>
      </c>
      <c r="Q49">
        <v>1</v>
      </c>
      <c r="R49">
        <f t="shared" si="2"/>
        <v>0</v>
      </c>
      <c r="S49">
        <f t="shared" si="3"/>
        <v>0</v>
      </c>
      <c r="T49">
        <f t="shared" si="4"/>
        <v>0</v>
      </c>
      <c r="U49">
        <f t="shared" si="5"/>
        <v>0</v>
      </c>
      <c r="V49">
        <f t="shared" si="6"/>
        <v>0</v>
      </c>
      <c r="W49">
        <f t="shared" si="7"/>
        <v>0</v>
      </c>
      <c r="X49">
        <f t="shared" si="8"/>
        <v>0</v>
      </c>
      <c r="Y49">
        <f t="shared" si="9"/>
        <v>0</v>
      </c>
      <c r="Z49">
        <f t="shared" si="10"/>
        <v>0</v>
      </c>
      <c r="AA49">
        <f t="shared" si="11"/>
        <v>0</v>
      </c>
      <c r="AB49">
        <f t="shared" si="12"/>
        <v>0</v>
      </c>
      <c r="AC49">
        <f t="shared" si="13"/>
        <v>0</v>
      </c>
      <c r="AD49">
        <f t="shared" si="14"/>
        <v>0</v>
      </c>
      <c r="AE49">
        <f t="shared" si="15"/>
        <v>0</v>
      </c>
      <c r="AF49">
        <f t="shared" si="16"/>
        <v>0</v>
      </c>
      <c r="AG49">
        <f t="shared" si="17"/>
        <v>0</v>
      </c>
      <c r="AH49">
        <f t="shared" si="18"/>
        <v>0</v>
      </c>
      <c r="AI49">
        <f t="shared" si="19"/>
        <v>0</v>
      </c>
      <c r="AJ49">
        <f t="shared" si="20"/>
        <v>0</v>
      </c>
      <c r="AK49">
        <f t="shared" si="21"/>
        <v>0</v>
      </c>
      <c r="AL49">
        <f t="shared" si="22"/>
        <v>0</v>
      </c>
      <c r="AM49">
        <f t="shared" si="23"/>
        <v>0</v>
      </c>
      <c r="AN49">
        <f t="shared" si="24"/>
        <v>0</v>
      </c>
      <c r="AO49">
        <f t="shared" si="25"/>
        <v>0</v>
      </c>
      <c r="AP49">
        <f t="shared" si="26"/>
        <v>0</v>
      </c>
      <c r="AQ49">
        <f t="shared" si="27"/>
        <v>0</v>
      </c>
      <c r="AR49">
        <f t="shared" si="28"/>
        <v>0</v>
      </c>
      <c r="AS49">
        <f t="shared" si="29"/>
        <v>0</v>
      </c>
      <c r="AT49">
        <f t="shared" si="30"/>
        <v>0</v>
      </c>
      <c r="AU49">
        <f t="shared" si="31"/>
        <v>0</v>
      </c>
      <c r="AY49" s="11" t="s">
        <v>209</v>
      </c>
    </row>
    <row r="50" spans="1:51" ht="23.1" customHeight="1" x14ac:dyDescent="0.3">
      <c r="A50" s="14" t="s">
        <v>57</v>
      </c>
      <c r="B50" s="14" t="s">
        <v>58</v>
      </c>
      <c r="C50" s="16" t="s">
        <v>59</v>
      </c>
      <c r="D50" s="17">
        <v>6</v>
      </c>
      <c r="E50" s="17"/>
      <c r="F50" s="17"/>
      <c r="G50" s="17"/>
      <c r="H50" s="17"/>
      <c r="I50" s="17"/>
      <c r="J50" s="17"/>
      <c r="K50" s="17"/>
      <c r="L50" s="17"/>
      <c r="M50" s="24"/>
      <c r="O50" t="str">
        <f>"01"</f>
        <v>01</v>
      </c>
      <c r="P50" s="11" t="s">
        <v>137</v>
      </c>
      <c r="Q50">
        <v>1</v>
      </c>
      <c r="R50">
        <f t="shared" si="2"/>
        <v>0</v>
      </c>
      <c r="S50">
        <f t="shared" si="3"/>
        <v>0</v>
      </c>
      <c r="T50">
        <f t="shared" si="4"/>
        <v>0</v>
      </c>
      <c r="U50">
        <f t="shared" si="5"/>
        <v>0</v>
      </c>
      <c r="V50">
        <f t="shared" si="6"/>
        <v>0</v>
      </c>
      <c r="W50">
        <f t="shared" si="7"/>
        <v>0</v>
      </c>
      <c r="X50">
        <f t="shared" si="8"/>
        <v>0</v>
      </c>
      <c r="Y50">
        <f t="shared" si="9"/>
        <v>0</v>
      </c>
      <c r="Z50">
        <f t="shared" si="10"/>
        <v>0</v>
      </c>
      <c r="AA50">
        <f t="shared" si="11"/>
        <v>0</v>
      </c>
      <c r="AB50">
        <f t="shared" si="12"/>
        <v>0</v>
      </c>
      <c r="AC50">
        <f t="shared" si="13"/>
        <v>0</v>
      </c>
      <c r="AD50">
        <f t="shared" si="14"/>
        <v>0</v>
      </c>
      <c r="AE50">
        <f t="shared" si="15"/>
        <v>0</v>
      </c>
      <c r="AF50">
        <f t="shared" si="16"/>
        <v>0</v>
      </c>
      <c r="AG50">
        <f t="shared" si="17"/>
        <v>0</v>
      </c>
      <c r="AH50">
        <f t="shared" si="18"/>
        <v>0</v>
      </c>
      <c r="AI50">
        <f t="shared" si="19"/>
        <v>0</v>
      </c>
      <c r="AJ50">
        <f t="shared" si="20"/>
        <v>0</v>
      </c>
      <c r="AK50">
        <f t="shared" si="21"/>
        <v>0</v>
      </c>
      <c r="AL50">
        <f t="shared" si="22"/>
        <v>0</v>
      </c>
      <c r="AM50">
        <f t="shared" si="23"/>
        <v>0</v>
      </c>
      <c r="AN50">
        <f t="shared" si="24"/>
        <v>0</v>
      </c>
      <c r="AO50">
        <f t="shared" si="25"/>
        <v>0</v>
      </c>
      <c r="AP50">
        <f t="shared" si="26"/>
        <v>0</v>
      </c>
      <c r="AQ50">
        <f t="shared" si="27"/>
        <v>0</v>
      </c>
      <c r="AR50">
        <f t="shared" si="28"/>
        <v>0</v>
      </c>
      <c r="AS50">
        <f t="shared" si="29"/>
        <v>0</v>
      </c>
      <c r="AT50">
        <f t="shared" si="30"/>
        <v>0</v>
      </c>
      <c r="AU50">
        <f t="shared" si="31"/>
        <v>0</v>
      </c>
    </row>
    <row r="51" spans="1:51" ht="23.1" customHeight="1" x14ac:dyDescent="0.3">
      <c r="A51" s="14" t="s">
        <v>270</v>
      </c>
      <c r="B51" s="14" t="s">
        <v>271</v>
      </c>
      <c r="C51" s="16" t="s">
        <v>32</v>
      </c>
      <c r="D51" s="17">
        <v>54</v>
      </c>
      <c r="E51" s="17"/>
      <c r="F51" s="17"/>
      <c r="G51" s="17"/>
      <c r="H51" s="17"/>
      <c r="I51" s="17"/>
      <c r="J51" s="17"/>
      <c r="K51" s="17"/>
      <c r="L51" s="17"/>
      <c r="M51" s="17"/>
      <c r="O51" t="str">
        <f>""</f>
        <v/>
      </c>
      <c r="P51" s="11" t="s">
        <v>137</v>
      </c>
      <c r="Q51">
        <v>1</v>
      </c>
      <c r="R51">
        <f t="shared" si="2"/>
        <v>0</v>
      </c>
      <c r="S51">
        <f t="shared" si="3"/>
        <v>0</v>
      </c>
      <c r="T51">
        <f t="shared" si="4"/>
        <v>0</v>
      </c>
      <c r="U51">
        <f t="shared" si="5"/>
        <v>0</v>
      </c>
      <c r="V51">
        <f t="shared" si="6"/>
        <v>0</v>
      </c>
      <c r="W51">
        <f t="shared" si="7"/>
        <v>0</v>
      </c>
      <c r="X51">
        <f t="shared" si="8"/>
        <v>0</v>
      </c>
      <c r="Y51">
        <f t="shared" si="9"/>
        <v>0</v>
      </c>
      <c r="Z51">
        <f t="shared" si="10"/>
        <v>0</v>
      </c>
      <c r="AA51">
        <f t="shared" si="11"/>
        <v>0</v>
      </c>
      <c r="AB51">
        <f t="shared" si="12"/>
        <v>0</v>
      </c>
      <c r="AC51">
        <f t="shared" si="13"/>
        <v>0</v>
      </c>
      <c r="AD51">
        <f t="shared" si="14"/>
        <v>0</v>
      </c>
      <c r="AE51">
        <f t="shared" si="15"/>
        <v>0</v>
      </c>
      <c r="AF51">
        <f t="shared" si="16"/>
        <v>0</v>
      </c>
      <c r="AG51">
        <f t="shared" si="17"/>
        <v>0</v>
      </c>
      <c r="AH51">
        <f t="shared" si="18"/>
        <v>0</v>
      </c>
      <c r="AI51">
        <f t="shared" si="19"/>
        <v>0</v>
      </c>
      <c r="AJ51">
        <f t="shared" si="20"/>
        <v>0</v>
      </c>
      <c r="AK51">
        <f t="shared" si="21"/>
        <v>0</v>
      </c>
      <c r="AL51">
        <f t="shared" si="22"/>
        <v>0</v>
      </c>
      <c r="AM51">
        <f t="shared" si="23"/>
        <v>0</v>
      </c>
      <c r="AN51">
        <f t="shared" si="24"/>
        <v>0</v>
      </c>
      <c r="AO51">
        <f t="shared" si="25"/>
        <v>0</v>
      </c>
      <c r="AP51">
        <f t="shared" si="26"/>
        <v>0</v>
      </c>
      <c r="AQ51">
        <f t="shared" si="27"/>
        <v>0</v>
      </c>
      <c r="AR51">
        <f t="shared" si="28"/>
        <v>0</v>
      </c>
      <c r="AS51">
        <f t="shared" si="29"/>
        <v>0</v>
      </c>
      <c r="AT51">
        <f t="shared" si="30"/>
        <v>0</v>
      </c>
      <c r="AU51">
        <f t="shared" si="31"/>
        <v>0</v>
      </c>
    </row>
    <row r="52" spans="1:51" ht="23.1" customHeight="1" x14ac:dyDescent="0.3">
      <c r="A52" s="14" t="s">
        <v>211</v>
      </c>
      <c r="B52" s="14" t="s">
        <v>212</v>
      </c>
      <c r="C52" s="16" t="s">
        <v>59</v>
      </c>
      <c r="D52" s="17">
        <v>5.8</v>
      </c>
      <c r="E52" s="17"/>
      <c r="F52" s="17"/>
      <c r="G52" s="17"/>
      <c r="H52" s="17"/>
      <c r="I52" s="17"/>
      <c r="J52" s="17"/>
      <c r="K52" s="17"/>
      <c r="L52" s="17"/>
      <c r="M52" s="24"/>
      <c r="O52" t="str">
        <f>""</f>
        <v/>
      </c>
      <c r="P52" s="11" t="s">
        <v>137</v>
      </c>
      <c r="Q52">
        <v>1</v>
      </c>
      <c r="R52">
        <f t="shared" si="2"/>
        <v>0</v>
      </c>
      <c r="S52">
        <f t="shared" si="3"/>
        <v>0</v>
      </c>
      <c r="T52">
        <f t="shared" si="4"/>
        <v>0</v>
      </c>
      <c r="U52">
        <f t="shared" si="5"/>
        <v>0</v>
      </c>
      <c r="V52">
        <f t="shared" si="6"/>
        <v>0</v>
      </c>
      <c r="W52">
        <f t="shared" si="7"/>
        <v>0</v>
      </c>
      <c r="X52">
        <f t="shared" si="8"/>
        <v>0</v>
      </c>
      <c r="Y52">
        <f t="shared" si="9"/>
        <v>0</v>
      </c>
      <c r="Z52">
        <f t="shared" si="10"/>
        <v>0</v>
      </c>
      <c r="AA52">
        <f t="shared" si="11"/>
        <v>0</v>
      </c>
      <c r="AB52">
        <f t="shared" si="12"/>
        <v>0</v>
      </c>
      <c r="AC52">
        <f t="shared" si="13"/>
        <v>0</v>
      </c>
      <c r="AD52">
        <f t="shared" si="14"/>
        <v>0</v>
      </c>
      <c r="AE52">
        <f t="shared" si="15"/>
        <v>0</v>
      </c>
      <c r="AF52">
        <f t="shared" si="16"/>
        <v>0</v>
      </c>
      <c r="AG52">
        <f t="shared" si="17"/>
        <v>0</v>
      </c>
      <c r="AH52">
        <f t="shared" si="18"/>
        <v>0</v>
      </c>
      <c r="AI52">
        <f t="shared" si="19"/>
        <v>0</v>
      </c>
      <c r="AJ52">
        <f t="shared" si="20"/>
        <v>0</v>
      </c>
      <c r="AK52">
        <f t="shared" si="21"/>
        <v>0</v>
      </c>
      <c r="AL52">
        <f t="shared" si="22"/>
        <v>0</v>
      </c>
      <c r="AM52">
        <f t="shared" si="23"/>
        <v>0</v>
      </c>
      <c r="AN52">
        <f t="shared" si="24"/>
        <v>0</v>
      </c>
      <c r="AO52">
        <f t="shared" si="25"/>
        <v>0</v>
      </c>
      <c r="AP52">
        <f t="shared" si="26"/>
        <v>0</v>
      </c>
      <c r="AQ52">
        <f t="shared" si="27"/>
        <v>0</v>
      </c>
      <c r="AR52">
        <f t="shared" si="28"/>
        <v>0</v>
      </c>
      <c r="AS52">
        <f t="shared" si="29"/>
        <v>0</v>
      </c>
      <c r="AT52">
        <f t="shared" si="30"/>
        <v>0</v>
      </c>
      <c r="AU52">
        <f t="shared" si="31"/>
        <v>0</v>
      </c>
    </row>
    <row r="53" spans="1:51" ht="23.1" customHeight="1" x14ac:dyDescent="0.3">
      <c r="A53" s="14" t="s">
        <v>102</v>
      </c>
      <c r="B53" s="14" t="s">
        <v>157</v>
      </c>
      <c r="C53" s="16" t="s">
        <v>158</v>
      </c>
      <c r="D53" s="17">
        <v>30</v>
      </c>
      <c r="E53" s="17"/>
      <c r="F53" s="17"/>
      <c r="G53" s="17"/>
      <c r="H53" s="17"/>
      <c r="I53" s="17"/>
      <c r="J53" s="17"/>
      <c r="K53" s="17"/>
      <c r="L53" s="17"/>
      <c r="M53" s="24"/>
      <c r="O53" t="str">
        <f>""</f>
        <v/>
      </c>
      <c r="P53" s="11" t="s">
        <v>137</v>
      </c>
      <c r="Q53">
        <v>1</v>
      </c>
      <c r="R53">
        <f t="shared" si="2"/>
        <v>0</v>
      </c>
      <c r="S53">
        <f t="shared" si="3"/>
        <v>0</v>
      </c>
      <c r="T53">
        <f t="shared" si="4"/>
        <v>0</v>
      </c>
      <c r="U53">
        <f t="shared" si="5"/>
        <v>0</v>
      </c>
      <c r="V53">
        <f t="shared" si="6"/>
        <v>0</v>
      </c>
      <c r="W53">
        <f t="shared" si="7"/>
        <v>0</v>
      </c>
      <c r="X53">
        <f t="shared" si="8"/>
        <v>0</v>
      </c>
      <c r="Y53">
        <f t="shared" si="9"/>
        <v>0</v>
      </c>
      <c r="Z53">
        <f t="shared" si="10"/>
        <v>0</v>
      </c>
      <c r="AA53">
        <f t="shared" si="11"/>
        <v>0</v>
      </c>
      <c r="AB53">
        <f t="shared" si="12"/>
        <v>0</v>
      </c>
      <c r="AC53">
        <f t="shared" si="13"/>
        <v>0</v>
      </c>
      <c r="AD53">
        <f t="shared" si="14"/>
        <v>0</v>
      </c>
      <c r="AE53">
        <f t="shared" si="15"/>
        <v>0</v>
      </c>
      <c r="AF53">
        <f t="shared" si="16"/>
        <v>0</v>
      </c>
      <c r="AG53">
        <f t="shared" si="17"/>
        <v>0</v>
      </c>
      <c r="AH53">
        <f t="shared" si="18"/>
        <v>0</v>
      </c>
      <c r="AI53">
        <f t="shared" si="19"/>
        <v>0</v>
      </c>
      <c r="AJ53">
        <f t="shared" si="20"/>
        <v>0</v>
      </c>
      <c r="AK53">
        <f t="shared" si="21"/>
        <v>0</v>
      </c>
      <c r="AL53">
        <f t="shared" si="22"/>
        <v>0</v>
      </c>
      <c r="AM53">
        <f t="shared" si="23"/>
        <v>0</v>
      </c>
      <c r="AN53">
        <f t="shared" si="24"/>
        <v>0</v>
      </c>
      <c r="AO53">
        <f t="shared" si="25"/>
        <v>0</v>
      </c>
      <c r="AP53">
        <f t="shared" si="26"/>
        <v>0</v>
      </c>
      <c r="AQ53">
        <f t="shared" si="27"/>
        <v>0</v>
      </c>
      <c r="AR53">
        <f t="shared" si="28"/>
        <v>0</v>
      </c>
      <c r="AS53">
        <f t="shared" si="29"/>
        <v>0</v>
      </c>
      <c r="AT53">
        <f t="shared" si="30"/>
        <v>0</v>
      </c>
      <c r="AU53">
        <f t="shared" si="31"/>
        <v>0</v>
      </c>
    </row>
    <row r="54" spans="1:51" ht="23.1" customHeight="1" x14ac:dyDescent="0.3">
      <c r="A54" s="14" t="s">
        <v>93</v>
      </c>
      <c r="B54" s="14" t="s">
        <v>91</v>
      </c>
      <c r="C54" s="16" t="s">
        <v>92</v>
      </c>
      <c r="D54" s="17">
        <v>4.29</v>
      </c>
      <c r="E54" s="17"/>
      <c r="F54" s="17"/>
      <c r="G54" s="17"/>
      <c r="H54" s="17"/>
      <c r="I54" s="17"/>
      <c r="J54" s="17"/>
      <c r="K54" s="17"/>
      <c r="L54" s="17"/>
      <c r="M54" s="24"/>
      <c r="O54" t="str">
        <f>"02"</f>
        <v>02</v>
      </c>
      <c r="P54" s="11" t="s">
        <v>137</v>
      </c>
      <c r="Q54">
        <v>1</v>
      </c>
      <c r="R54">
        <f t="shared" si="2"/>
        <v>0</v>
      </c>
      <c r="S54">
        <f t="shared" si="3"/>
        <v>0</v>
      </c>
      <c r="T54">
        <f t="shared" si="4"/>
        <v>0</v>
      </c>
      <c r="U54">
        <f t="shared" si="5"/>
        <v>0</v>
      </c>
      <c r="V54">
        <f t="shared" si="6"/>
        <v>0</v>
      </c>
      <c r="W54">
        <f t="shared" si="7"/>
        <v>0</v>
      </c>
      <c r="X54">
        <f t="shared" si="8"/>
        <v>0</v>
      </c>
      <c r="Y54">
        <f t="shared" si="9"/>
        <v>0</v>
      </c>
      <c r="Z54">
        <f t="shared" si="10"/>
        <v>0</v>
      </c>
      <c r="AA54">
        <f t="shared" si="11"/>
        <v>0</v>
      </c>
      <c r="AB54">
        <f t="shared" si="12"/>
        <v>0</v>
      </c>
      <c r="AC54">
        <f t="shared" si="13"/>
        <v>0</v>
      </c>
      <c r="AD54">
        <f t="shared" si="14"/>
        <v>0</v>
      </c>
      <c r="AE54">
        <f t="shared" si="15"/>
        <v>0</v>
      </c>
      <c r="AF54">
        <f t="shared" si="16"/>
        <v>0</v>
      </c>
      <c r="AG54">
        <f t="shared" si="17"/>
        <v>0</v>
      </c>
      <c r="AH54">
        <f t="shared" si="18"/>
        <v>0</v>
      </c>
      <c r="AI54">
        <f t="shared" si="19"/>
        <v>0</v>
      </c>
      <c r="AJ54">
        <f t="shared" si="20"/>
        <v>0</v>
      </c>
      <c r="AK54">
        <f t="shared" si="21"/>
        <v>0</v>
      </c>
      <c r="AL54">
        <f t="shared" si="22"/>
        <v>0</v>
      </c>
      <c r="AM54">
        <f t="shared" si="23"/>
        <v>0</v>
      </c>
      <c r="AN54">
        <f t="shared" si="24"/>
        <v>0</v>
      </c>
      <c r="AO54">
        <f t="shared" si="25"/>
        <v>0</v>
      </c>
      <c r="AP54">
        <f t="shared" si="26"/>
        <v>0</v>
      </c>
      <c r="AQ54">
        <f t="shared" si="27"/>
        <v>0</v>
      </c>
      <c r="AR54">
        <f t="shared" si="28"/>
        <v>0</v>
      </c>
      <c r="AS54">
        <f t="shared" si="29"/>
        <v>0</v>
      </c>
      <c r="AT54">
        <f t="shared" si="30"/>
        <v>0</v>
      </c>
      <c r="AU54">
        <f t="shared" si="31"/>
        <v>0</v>
      </c>
    </row>
    <row r="55" spans="1:51" ht="23.1" customHeight="1" x14ac:dyDescent="0.3">
      <c r="A55" s="14" t="s">
        <v>96</v>
      </c>
      <c r="B55" s="14" t="s">
        <v>91</v>
      </c>
      <c r="C55" s="16" t="s">
        <v>92</v>
      </c>
      <c r="D55" s="17">
        <v>9.6850000000000005</v>
      </c>
      <c r="E55" s="17"/>
      <c r="F55" s="17"/>
      <c r="G55" s="17"/>
      <c r="H55" s="17"/>
      <c r="I55" s="17"/>
      <c r="J55" s="17"/>
      <c r="K55" s="17"/>
      <c r="L55" s="17"/>
      <c r="M55" s="17"/>
      <c r="O55" t="str">
        <f>"02"</f>
        <v>02</v>
      </c>
      <c r="P55" s="11" t="s">
        <v>137</v>
      </c>
      <c r="Q55">
        <v>1</v>
      </c>
      <c r="R55">
        <f t="shared" si="2"/>
        <v>0</v>
      </c>
      <c r="S55">
        <f t="shared" si="3"/>
        <v>0</v>
      </c>
      <c r="T55">
        <f t="shared" si="4"/>
        <v>0</v>
      </c>
      <c r="U55">
        <f t="shared" si="5"/>
        <v>0</v>
      </c>
      <c r="V55">
        <f t="shared" si="6"/>
        <v>0</v>
      </c>
      <c r="W55">
        <f t="shared" si="7"/>
        <v>0</v>
      </c>
      <c r="X55">
        <f t="shared" si="8"/>
        <v>0</v>
      </c>
      <c r="Y55">
        <f t="shared" si="9"/>
        <v>0</v>
      </c>
      <c r="Z55">
        <f t="shared" si="10"/>
        <v>0</v>
      </c>
      <c r="AA55">
        <f t="shared" si="11"/>
        <v>0</v>
      </c>
      <c r="AB55">
        <f t="shared" si="12"/>
        <v>0</v>
      </c>
      <c r="AC55">
        <f t="shared" si="13"/>
        <v>0</v>
      </c>
      <c r="AD55">
        <f t="shared" si="14"/>
        <v>0</v>
      </c>
      <c r="AE55">
        <f t="shared" si="15"/>
        <v>0</v>
      </c>
      <c r="AF55">
        <f t="shared" si="16"/>
        <v>0</v>
      </c>
      <c r="AG55">
        <f t="shared" si="17"/>
        <v>0</v>
      </c>
      <c r="AH55">
        <f t="shared" si="18"/>
        <v>0</v>
      </c>
      <c r="AI55">
        <f t="shared" si="19"/>
        <v>0</v>
      </c>
      <c r="AJ55">
        <f t="shared" si="20"/>
        <v>0</v>
      </c>
      <c r="AK55">
        <f t="shared" si="21"/>
        <v>0</v>
      </c>
      <c r="AL55">
        <f t="shared" si="22"/>
        <v>0</v>
      </c>
      <c r="AM55">
        <f t="shared" si="23"/>
        <v>0</v>
      </c>
      <c r="AN55">
        <f t="shared" si="24"/>
        <v>0</v>
      </c>
      <c r="AO55">
        <f t="shared" si="25"/>
        <v>0</v>
      </c>
      <c r="AP55">
        <f t="shared" si="26"/>
        <v>0</v>
      </c>
      <c r="AQ55">
        <f t="shared" si="27"/>
        <v>0</v>
      </c>
      <c r="AR55">
        <f t="shared" si="28"/>
        <v>0</v>
      </c>
      <c r="AS55">
        <f t="shared" si="29"/>
        <v>0</v>
      </c>
      <c r="AT55">
        <f t="shared" si="30"/>
        <v>0</v>
      </c>
      <c r="AU55">
        <f t="shared" si="31"/>
        <v>0</v>
      </c>
    </row>
    <row r="56" spans="1:51" ht="23.1" customHeight="1" x14ac:dyDescent="0.3">
      <c r="A56" s="14" t="s">
        <v>95</v>
      </c>
      <c r="B56" s="14" t="s">
        <v>91</v>
      </c>
      <c r="C56" s="16" t="s">
        <v>92</v>
      </c>
      <c r="D56" s="17">
        <v>25.405000000000001</v>
      </c>
      <c r="E56" s="17"/>
      <c r="F56" s="17"/>
      <c r="G56" s="17"/>
      <c r="H56" s="17"/>
      <c r="I56" s="17"/>
      <c r="J56" s="17"/>
      <c r="K56" s="17"/>
      <c r="L56" s="17"/>
      <c r="M56" s="17"/>
      <c r="O56" t="str">
        <f>"02"</f>
        <v>02</v>
      </c>
      <c r="P56" s="11" t="s">
        <v>137</v>
      </c>
      <c r="Q56">
        <v>1</v>
      </c>
      <c r="R56">
        <f t="shared" si="2"/>
        <v>0</v>
      </c>
      <c r="S56">
        <f t="shared" si="3"/>
        <v>0</v>
      </c>
      <c r="T56">
        <f t="shared" si="4"/>
        <v>0</v>
      </c>
      <c r="U56">
        <f t="shared" si="5"/>
        <v>0</v>
      </c>
      <c r="V56">
        <f t="shared" si="6"/>
        <v>0</v>
      </c>
      <c r="W56">
        <f t="shared" si="7"/>
        <v>0</v>
      </c>
      <c r="X56">
        <f t="shared" si="8"/>
        <v>0</v>
      </c>
      <c r="Y56">
        <f t="shared" si="9"/>
        <v>0</v>
      </c>
      <c r="Z56">
        <f t="shared" si="10"/>
        <v>0</v>
      </c>
      <c r="AA56">
        <f t="shared" si="11"/>
        <v>0</v>
      </c>
      <c r="AB56">
        <f t="shared" si="12"/>
        <v>0</v>
      </c>
      <c r="AC56">
        <f t="shared" si="13"/>
        <v>0</v>
      </c>
      <c r="AD56">
        <f t="shared" si="14"/>
        <v>0</v>
      </c>
      <c r="AE56">
        <f t="shared" si="15"/>
        <v>0</v>
      </c>
      <c r="AF56">
        <f t="shared" si="16"/>
        <v>0</v>
      </c>
      <c r="AG56">
        <f t="shared" si="17"/>
        <v>0</v>
      </c>
      <c r="AH56">
        <f t="shared" si="18"/>
        <v>0</v>
      </c>
      <c r="AI56">
        <f t="shared" si="19"/>
        <v>0</v>
      </c>
      <c r="AJ56">
        <f t="shared" si="20"/>
        <v>0</v>
      </c>
      <c r="AK56">
        <f t="shared" si="21"/>
        <v>0</v>
      </c>
      <c r="AL56">
        <f t="shared" si="22"/>
        <v>0</v>
      </c>
      <c r="AM56">
        <f t="shared" si="23"/>
        <v>0</v>
      </c>
      <c r="AN56">
        <f t="shared" si="24"/>
        <v>0</v>
      </c>
      <c r="AO56">
        <f t="shared" si="25"/>
        <v>0</v>
      </c>
      <c r="AP56">
        <f t="shared" si="26"/>
        <v>0</v>
      </c>
      <c r="AQ56">
        <f t="shared" si="27"/>
        <v>0</v>
      </c>
      <c r="AR56">
        <f t="shared" si="28"/>
        <v>0</v>
      </c>
      <c r="AS56">
        <f t="shared" si="29"/>
        <v>0</v>
      </c>
      <c r="AT56">
        <f t="shared" si="30"/>
        <v>0</v>
      </c>
      <c r="AU56">
        <f t="shared" si="31"/>
        <v>0</v>
      </c>
    </row>
    <row r="57" spans="1:51" ht="23.1" customHeight="1" x14ac:dyDescent="0.3">
      <c r="A57" s="14" t="s">
        <v>186</v>
      </c>
      <c r="B57" s="15" t="str">
        <f>"노무비의 " &amp; N57*100 &amp; "%"</f>
        <v>노무비의 3%</v>
      </c>
      <c r="C57" s="16" t="s">
        <v>141</v>
      </c>
      <c r="D57" s="17">
        <v>1</v>
      </c>
      <c r="E57" s="17"/>
      <c r="F57" s="17"/>
      <c r="G57" s="17"/>
      <c r="H57" s="17"/>
      <c r="I57" s="17"/>
      <c r="J57" s="17"/>
      <c r="K57" s="17"/>
      <c r="L57" s="17"/>
      <c r="M57" s="17"/>
      <c r="N57">
        <v>0.03</v>
      </c>
      <c r="O57" t="str">
        <f>""</f>
        <v/>
      </c>
      <c r="P57" s="11" t="s">
        <v>137</v>
      </c>
      <c r="Q57">
        <v>1</v>
      </c>
      <c r="R57">
        <f t="shared" si="2"/>
        <v>0</v>
      </c>
      <c r="S57">
        <f t="shared" si="3"/>
        <v>0</v>
      </c>
      <c r="T57">
        <f t="shared" si="4"/>
        <v>0</v>
      </c>
      <c r="U57">
        <f t="shared" si="5"/>
        <v>0</v>
      </c>
      <c r="V57">
        <f t="shared" si="6"/>
        <v>0</v>
      </c>
      <c r="W57">
        <f t="shared" si="7"/>
        <v>0</v>
      </c>
      <c r="X57">
        <f t="shared" si="8"/>
        <v>0</v>
      </c>
      <c r="Y57">
        <f t="shared" si="9"/>
        <v>0</v>
      </c>
      <c r="Z57">
        <f t="shared" si="10"/>
        <v>0</v>
      </c>
      <c r="AA57">
        <f t="shared" si="11"/>
        <v>0</v>
      </c>
      <c r="AB57">
        <f t="shared" si="12"/>
        <v>0</v>
      </c>
      <c r="AC57">
        <f t="shared" si="13"/>
        <v>0</v>
      </c>
      <c r="AD57">
        <f t="shared" si="14"/>
        <v>0</v>
      </c>
      <c r="AE57">
        <f t="shared" si="15"/>
        <v>0</v>
      </c>
      <c r="AF57">
        <f t="shared" si="16"/>
        <v>0</v>
      </c>
      <c r="AG57">
        <f t="shared" si="17"/>
        <v>0</v>
      </c>
      <c r="AH57">
        <f t="shared" si="18"/>
        <v>0</v>
      </c>
      <c r="AI57">
        <f t="shared" si="19"/>
        <v>0</v>
      </c>
      <c r="AJ57">
        <f t="shared" si="20"/>
        <v>0</v>
      </c>
      <c r="AK57">
        <f t="shared" si="21"/>
        <v>0</v>
      </c>
      <c r="AL57">
        <f t="shared" si="22"/>
        <v>0</v>
      </c>
      <c r="AM57">
        <f t="shared" si="23"/>
        <v>0</v>
      </c>
      <c r="AN57">
        <f t="shared" si="24"/>
        <v>0</v>
      </c>
      <c r="AO57">
        <f t="shared" si="25"/>
        <v>0</v>
      </c>
      <c r="AP57">
        <f t="shared" si="26"/>
        <v>0</v>
      </c>
      <c r="AQ57">
        <f t="shared" si="27"/>
        <v>0</v>
      </c>
      <c r="AR57">
        <f t="shared" si="28"/>
        <v>0</v>
      </c>
      <c r="AS57">
        <f t="shared" si="29"/>
        <v>0</v>
      </c>
      <c r="AT57">
        <f t="shared" si="30"/>
        <v>0</v>
      </c>
      <c r="AU57">
        <f t="shared" si="31"/>
        <v>0</v>
      </c>
      <c r="AW57" s="11" t="s">
        <v>272</v>
      </c>
      <c r="AX57" s="11" t="s">
        <v>170</v>
      </c>
    </row>
    <row r="58" spans="1:51" ht="23.1" customHeight="1" x14ac:dyDescent="0.3">
      <c r="A58" s="15"/>
      <c r="B58" s="15"/>
      <c r="C58" s="22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51" ht="23.1" customHeight="1" x14ac:dyDescent="0.3">
      <c r="A59" s="15"/>
      <c r="B59" s="15"/>
      <c r="C59" s="22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51" ht="23.1" customHeight="1" x14ac:dyDescent="0.3">
      <c r="A60" s="15"/>
      <c r="B60" s="15"/>
      <c r="C60" s="22"/>
      <c r="D60" s="17"/>
      <c r="E60" s="17"/>
      <c r="F60" s="17"/>
      <c r="G60" s="17"/>
      <c r="H60" s="17"/>
      <c r="I60" s="17"/>
      <c r="J60" s="17"/>
      <c r="K60" s="17"/>
      <c r="L60" s="17"/>
      <c r="M60" s="17"/>
    </row>
    <row r="61" spans="1:51" ht="23.1" customHeight="1" x14ac:dyDescent="0.3">
      <c r="A61" s="15"/>
      <c r="B61" s="15"/>
      <c r="C61" s="22"/>
      <c r="D61" s="17"/>
      <c r="E61" s="17"/>
      <c r="F61" s="17"/>
      <c r="G61" s="17"/>
      <c r="H61" s="17"/>
      <c r="I61" s="17"/>
      <c r="J61" s="17"/>
      <c r="K61" s="17"/>
      <c r="L61" s="17"/>
      <c r="M61" s="17"/>
    </row>
    <row r="62" spans="1:51" ht="23.1" customHeight="1" x14ac:dyDescent="0.3">
      <c r="A62" s="15"/>
      <c r="B62" s="15"/>
      <c r="C62" s="22"/>
      <c r="D62" s="17"/>
      <c r="E62" s="17"/>
      <c r="F62" s="17"/>
      <c r="G62" s="17"/>
      <c r="H62" s="17"/>
      <c r="I62" s="17"/>
      <c r="J62" s="17"/>
      <c r="K62" s="17"/>
      <c r="L62" s="17"/>
      <c r="M62" s="17"/>
    </row>
    <row r="63" spans="1:51" ht="23.1" customHeight="1" x14ac:dyDescent="0.3">
      <c r="A63" s="15"/>
      <c r="B63" s="15"/>
      <c r="C63" s="22"/>
      <c r="D63" s="17"/>
      <c r="E63" s="17"/>
      <c r="F63" s="17"/>
      <c r="G63" s="17"/>
      <c r="H63" s="17"/>
      <c r="I63" s="17"/>
      <c r="J63" s="17"/>
      <c r="K63" s="17"/>
      <c r="L63" s="17"/>
      <c r="M63" s="17"/>
    </row>
    <row r="64" spans="1:51" ht="23.1" customHeight="1" x14ac:dyDescent="0.3">
      <c r="A64" s="15"/>
      <c r="B64" s="15"/>
      <c r="C64" s="22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51" ht="23.1" customHeight="1" x14ac:dyDescent="0.3">
      <c r="A65" s="15"/>
      <c r="B65" s="15"/>
      <c r="C65" s="22"/>
      <c r="D65" s="17"/>
      <c r="E65" s="17"/>
      <c r="F65" s="17"/>
      <c r="G65" s="17"/>
      <c r="H65" s="17"/>
      <c r="I65" s="17"/>
      <c r="J65" s="17"/>
      <c r="K65" s="17"/>
      <c r="L65" s="17"/>
      <c r="M65" s="17"/>
    </row>
    <row r="66" spans="1:51" ht="23.1" customHeight="1" x14ac:dyDescent="0.3">
      <c r="A66" s="15"/>
      <c r="B66" s="15"/>
      <c r="C66" s="22"/>
      <c r="D66" s="17"/>
      <c r="E66" s="17"/>
      <c r="F66" s="17"/>
      <c r="G66" s="17"/>
      <c r="H66" s="17"/>
      <c r="I66" s="17"/>
      <c r="J66" s="17"/>
      <c r="K66" s="17"/>
      <c r="L66" s="17"/>
      <c r="M66" s="17"/>
    </row>
    <row r="67" spans="1:51" ht="23.1" customHeight="1" x14ac:dyDescent="0.3">
      <c r="A67" s="15"/>
      <c r="B67" s="15"/>
      <c r="C67" s="22"/>
      <c r="D67" s="17"/>
      <c r="E67" s="17"/>
      <c r="F67" s="17"/>
      <c r="G67" s="17"/>
      <c r="H67" s="17"/>
      <c r="I67" s="17"/>
      <c r="J67" s="17"/>
      <c r="K67" s="17"/>
      <c r="L67" s="17"/>
      <c r="M67" s="17"/>
    </row>
    <row r="68" spans="1:51" ht="23.1" customHeight="1" x14ac:dyDescent="0.3">
      <c r="A68" s="18" t="s">
        <v>148</v>
      </c>
      <c r="B68" s="19"/>
      <c r="C68" s="20"/>
      <c r="D68" s="21"/>
      <c r="E68" s="21"/>
      <c r="F68" s="21">
        <f>ROUNDDOWN(SUMIF(Q22:Q67, "1", F22:F67), 0)</f>
        <v>0</v>
      </c>
      <c r="G68" s="21"/>
      <c r="H68" s="21">
        <f>ROUNDDOWN(SUMIF(Q22:Q67, "1", H22:H67), 0)</f>
        <v>0</v>
      </c>
      <c r="I68" s="21"/>
      <c r="J68" s="21">
        <f>ROUNDDOWN(SUMIF(Q22:Q67, "1", J22:J67), 0)</f>
        <v>0</v>
      </c>
      <c r="K68" s="21"/>
      <c r="L68" s="21">
        <f>F68+H68+J68</f>
        <v>0</v>
      </c>
      <c r="M68" s="21"/>
      <c r="R68">
        <f t="shared" ref="R68:AY68" si="33">ROUNDDOWN(SUM(R22:R57), 0)</f>
        <v>0</v>
      </c>
      <c r="S68">
        <f t="shared" si="33"/>
        <v>0</v>
      </c>
      <c r="T68">
        <f t="shared" si="33"/>
        <v>0</v>
      </c>
      <c r="U68">
        <f t="shared" si="33"/>
        <v>0</v>
      </c>
      <c r="V68">
        <f t="shared" si="33"/>
        <v>0</v>
      </c>
      <c r="W68">
        <f t="shared" si="33"/>
        <v>0</v>
      </c>
      <c r="X68">
        <f t="shared" si="33"/>
        <v>0</v>
      </c>
      <c r="Y68">
        <f t="shared" si="33"/>
        <v>0</v>
      </c>
      <c r="Z68">
        <f t="shared" si="33"/>
        <v>0</v>
      </c>
      <c r="AA68">
        <f t="shared" si="33"/>
        <v>0</v>
      </c>
      <c r="AB68">
        <f t="shared" si="33"/>
        <v>0</v>
      </c>
      <c r="AC68">
        <f t="shared" si="33"/>
        <v>0</v>
      </c>
      <c r="AD68">
        <f t="shared" si="33"/>
        <v>0</v>
      </c>
      <c r="AE68">
        <f t="shared" si="33"/>
        <v>0</v>
      </c>
      <c r="AF68">
        <f t="shared" si="33"/>
        <v>0</v>
      </c>
      <c r="AG68">
        <f t="shared" si="33"/>
        <v>0</v>
      </c>
      <c r="AH68">
        <f t="shared" si="33"/>
        <v>0</v>
      </c>
      <c r="AI68">
        <f t="shared" si="33"/>
        <v>0</v>
      </c>
      <c r="AJ68">
        <f t="shared" si="33"/>
        <v>0</v>
      </c>
      <c r="AK68">
        <f t="shared" si="33"/>
        <v>0</v>
      </c>
      <c r="AL68">
        <f t="shared" si="33"/>
        <v>0</v>
      </c>
      <c r="AM68">
        <f t="shared" si="33"/>
        <v>0</v>
      </c>
      <c r="AN68">
        <f t="shared" si="33"/>
        <v>0</v>
      </c>
      <c r="AO68">
        <f t="shared" si="33"/>
        <v>0</v>
      </c>
      <c r="AP68">
        <f t="shared" si="33"/>
        <v>0</v>
      </c>
      <c r="AQ68">
        <f t="shared" si="33"/>
        <v>0</v>
      </c>
      <c r="AR68">
        <f t="shared" si="33"/>
        <v>0</v>
      </c>
      <c r="AS68">
        <f t="shared" si="33"/>
        <v>0</v>
      </c>
      <c r="AT68">
        <f t="shared" si="33"/>
        <v>0</v>
      </c>
      <c r="AU68">
        <f t="shared" si="33"/>
        <v>0</v>
      </c>
      <c r="AV68">
        <f t="shared" si="33"/>
        <v>0</v>
      </c>
      <c r="AW68">
        <f t="shared" si="33"/>
        <v>0</v>
      </c>
      <c r="AX68">
        <f t="shared" si="33"/>
        <v>0</v>
      </c>
      <c r="AY68">
        <f t="shared" si="33"/>
        <v>0</v>
      </c>
    </row>
    <row r="69" spans="1:51" ht="23.1" customHeight="1" x14ac:dyDescent="0.3">
      <c r="A69" s="68" t="s">
        <v>273</v>
      </c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</row>
    <row r="70" spans="1:51" ht="23.1" customHeight="1" x14ac:dyDescent="0.3">
      <c r="A70" s="14" t="s">
        <v>214</v>
      </c>
      <c r="B70" s="14" t="s">
        <v>215</v>
      </c>
      <c r="C70" s="16" t="s">
        <v>204</v>
      </c>
      <c r="D70" s="17">
        <v>1</v>
      </c>
      <c r="E70" s="17"/>
      <c r="F70" s="17"/>
      <c r="G70" s="17"/>
      <c r="H70" s="17"/>
      <c r="I70" s="17"/>
      <c r="J70" s="17"/>
      <c r="K70" s="17"/>
      <c r="L70" s="17"/>
      <c r="M70" s="24"/>
      <c r="O70" t="str">
        <f>""</f>
        <v/>
      </c>
      <c r="P70" s="11" t="s">
        <v>137</v>
      </c>
      <c r="Q70">
        <v>1</v>
      </c>
      <c r="R70">
        <f>IF(P70="기계경비", J70, 0)</f>
        <v>0</v>
      </c>
      <c r="S70">
        <f>IF(P70="운반비", L70, 0)</f>
        <v>0</v>
      </c>
      <c r="T70">
        <f>IF(P70="작업부산물", F70, 0)</f>
        <v>0</v>
      </c>
      <c r="U70">
        <f>IF(P70="관급", F70, 0)</f>
        <v>0</v>
      </c>
      <c r="V70">
        <f>IF(P70="외주비", J70, 0)</f>
        <v>0</v>
      </c>
      <c r="W70">
        <f>IF(P70="장비비", J70, 0)</f>
        <v>0</v>
      </c>
      <c r="X70">
        <f>IF(P70="폐기물처리비", L70, 0)</f>
        <v>0</v>
      </c>
      <c r="Y70">
        <f>IF(P70="가설비", J70, 0)</f>
        <v>0</v>
      </c>
      <c r="Z70">
        <f>IF(P70="잡비제외분", F70, 0)</f>
        <v>0</v>
      </c>
      <c r="AA70">
        <f>IF(P70="사급자재대", L70, 0)</f>
        <v>0</v>
      </c>
      <c r="AB70">
        <f>IF(P70="관급자재대", L70, 0)</f>
        <v>0</v>
      </c>
      <c r="AC70">
        <f>IF(P70="사용자항목1", L70, 0)</f>
        <v>0</v>
      </c>
      <c r="AD70">
        <f>IF(P70="사용자항목2", L70, 0)</f>
        <v>0</v>
      </c>
      <c r="AE70">
        <f>IF(P70="안전관리비", L70, 0)</f>
        <v>0</v>
      </c>
      <c r="AF70">
        <f>IF(P70="품질관리비", L70, 0)</f>
        <v>0</v>
      </c>
      <c r="AG70">
        <f>IF(P70="작업부산물(철거해체)", L70, 0)</f>
        <v>0</v>
      </c>
      <c r="AH70">
        <f>IF(P70="사용자항목6", L70, 0)</f>
        <v>0</v>
      </c>
      <c r="AI70">
        <f>IF(P70="사용자항목7", L70, 0)</f>
        <v>0</v>
      </c>
      <c r="AJ70">
        <f>IF(P70="사용자항목8", L70, 0)</f>
        <v>0</v>
      </c>
      <c r="AK70">
        <f>IF(P70="사용자항목9", L70, 0)</f>
        <v>0</v>
      </c>
      <c r="AL70">
        <f>IF(P70="사용자항목10", L70, 0)</f>
        <v>0</v>
      </c>
      <c r="AM70">
        <f>IF(P70="사용자항목11", L70, 0)</f>
        <v>0</v>
      </c>
      <c r="AN70">
        <f>IF(P70="사용자항목12", L70, 0)</f>
        <v>0</v>
      </c>
      <c r="AO70">
        <f>IF(P70="사용자항목13", L70, 0)</f>
        <v>0</v>
      </c>
      <c r="AP70">
        <f>IF(P70="사용자항목14", L70, 0)</f>
        <v>0</v>
      </c>
      <c r="AQ70">
        <f>IF(P70="사용자항목15", L70, 0)</f>
        <v>0</v>
      </c>
      <c r="AR70">
        <f>IF(P70="사용자항목16", L70, 0)</f>
        <v>0</v>
      </c>
      <c r="AS70">
        <f>IF(P70="사용자항목17", L70, 0)</f>
        <v>0</v>
      </c>
      <c r="AT70">
        <f>IF(P70="사용자항목18", L70, 0)</f>
        <v>0</v>
      </c>
      <c r="AU70">
        <f>IF(P70="사용자항목19", L70, 0)</f>
        <v>0</v>
      </c>
    </row>
    <row r="71" spans="1:51" ht="23.1" customHeight="1" x14ac:dyDescent="0.3">
      <c r="A71" s="14" t="s">
        <v>214</v>
      </c>
      <c r="B71" s="14" t="s">
        <v>217</v>
      </c>
      <c r="C71" s="16" t="s">
        <v>204</v>
      </c>
      <c r="D71" s="17">
        <v>29</v>
      </c>
      <c r="E71" s="17"/>
      <c r="F71" s="17"/>
      <c r="G71" s="17"/>
      <c r="H71" s="17"/>
      <c r="I71" s="17"/>
      <c r="J71" s="17"/>
      <c r="K71" s="17"/>
      <c r="L71" s="17"/>
      <c r="M71" s="24"/>
      <c r="O71" t="str">
        <f>""</f>
        <v/>
      </c>
      <c r="P71" s="11" t="s">
        <v>137</v>
      </c>
      <c r="Q71">
        <v>1</v>
      </c>
      <c r="R71">
        <f>IF(P71="기계경비", J71, 0)</f>
        <v>0</v>
      </c>
      <c r="S71">
        <f>IF(P71="운반비", L71, 0)</f>
        <v>0</v>
      </c>
      <c r="T71">
        <f>IF(P71="작업부산물", F71, 0)</f>
        <v>0</v>
      </c>
      <c r="U71">
        <f>IF(P71="관급", F71, 0)</f>
        <v>0</v>
      </c>
      <c r="V71">
        <f>IF(P71="외주비", J71, 0)</f>
        <v>0</v>
      </c>
      <c r="W71">
        <f>IF(P71="장비비", J71, 0)</f>
        <v>0</v>
      </c>
      <c r="X71">
        <f>IF(P71="폐기물처리비", L71, 0)</f>
        <v>0</v>
      </c>
      <c r="Y71">
        <f>IF(P71="가설비", J71, 0)</f>
        <v>0</v>
      </c>
      <c r="Z71">
        <f>IF(P71="잡비제외분", F71, 0)</f>
        <v>0</v>
      </c>
      <c r="AA71">
        <f>IF(P71="사급자재대", L71, 0)</f>
        <v>0</v>
      </c>
      <c r="AB71">
        <f>IF(P71="관급자재대", L71, 0)</f>
        <v>0</v>
      </c>
      <c r="AC71">
        <f>IF(P71="사용자항목1", L71, 0)</f>
        <v>0</v>
      </c>
      <c r="AD71">
        <f>IF(P71="사용자항목2", L71, 0)</f>
        <v>0</v>
      </c>
      <c r="AE71">
        <f>IF(P71="안전관리비", L71, 0)</f>
        <v>0</v>
      </c>
      <c r="AF71">
        <f>IF(P71="품질관리비", L71, 0)</f>
        <v>0</v>
      </c>
      <c r="AG71">
        <f>IF(P71="작업부산물(철거해체)", L71, 0)</f>
        <v>0</v>
      </c>
      <c r="AH71">
        <f>IF(P71="사용자항목6", L71, 0)</f>
        <v>0</v>
      </c>
      <c r="AI71">
        <f>IF(P71="사용자항목7", L71, 0)</f>
        <v>0</v>
      </c>
      <c r="AJ71">
        <f>IF(P71="사용자항목8", L71, 0)</f>
        <v>0</v>
      </c>
      <c r="AK71">
        <f>IF(P71="사용자항목9", L71, 0)</f>
        <v>0</v>
      </c>
      <c r="AL71">
        <f>IF(P71="사용자항목10", L71, 0)</f>
        <v>0</v>
      </c>
      <c r="AM71">
        <f>IF(P71="사용자항목11", L71, 0)</f>
        <v>0</v>
      </c>
      <c r="AN71">
        <f>IF(P71="사용자항목12", L71, 0)</f>
        <v>0</v>
      </c>
      <c r="AO71">
        <f>IF(P71="사용자항목13", L71, 0)</f>
        <v>0</v>
      </c>
      <c r="AP71">
        <f>IF(P71="사용자항목14", L71, 0)</f>
        <v>0</v>
      </c>
      <c r="AQ71">
        <f>IF(P71="사용자항목15", L71, 0)</f>
        <v>0</v>
      </c>
      <c r="AR71">
        <f>IF(P71="사용자항목16", L71, 0)</f>
        <v>0</v>
      </c>
      <c r="AS71">
        <f>IF(P71="사용자항목17", L71, 0)</f>
        <v>0</v>
      </c>
      <c r="AT71">
        <f>IF(P71="사용자항목18", L71, 0)</f>
        <v>0</v>
      </c>
      <c r="AU71">
        <f>IF(P71="사용자항목19", L71, 0)</f>
        <v>0</v>
      </c>
    </row>
    <row r="72" spans="1:51" ht="23.1" customHeight="1" x14ac:dyDescent="0.3">
      <c r="A72" s="14" t="s">
        <v>214</v>
      </c>
      <c r="B72" s="14" t="s">
        <v>219</v>
      </c>
      <c r="C72" s="16" t="s">
        <v>204</v>
      </c>
      <c r="D72" s="17">
        <v>2</v>
      </c>
      <c r="E72" s="17"/>
      <c r="F72" s="17"/>
      <c r="G72" s="17"/>
      <c r="H72" s="17"/>
      <c r="I72" s="17"/>
      <c r="J72" s="17"/>
      <c r="K72" s="17"/>
      <c r="L72" s="17"/>
      <c r="M72" s="24"/>
      <c r="O72" t="str">
        <f>""</f>
        <v/>
      </c>
      <c r="P72" s="11" t="s">
        <v>137</v>
      </c>
      <c r="Q72">
        <v>1</v>
      </c>
      <c r="R72">
        <f>IF(P72="기계경비", J72, 0)</f>
        <v>0</v>
      </c>
      <c r="S72">
        <f>IF(P72="운반비", L72, 0)</f>
        <v>0</v>
      </c>
      <c r="T72">
        <f>IF(P72="작업부산물", F72, 0)</f>
        <v>0</v>
      </c>
      <c r="U72">
        <f>IF(P72="관급", F72, 0)</f>
        <v>0</v>
      </c>
      <c r="V72">
        <f>IF(P72="외주비", J72, 0)</f>
        <v>0</v>
      </c>
      <c r="W72">
        <f>IF(P72="장비비", J72, 0)</f>
        <v>0</v>
      </c>
      <c r="X72">
        <f>IF(P72="폐기물처리비", L72, 0)</f>
        <v>0</v>
      </c>
      <c r="Y72">
        <f>IF(P72="가설비", J72, 0)</f>
        <v>0</v>
      </c>
      <c r="Z72">
        <f>IF(P72="잡비제외분", F72, 0)</f>
        <v>0</v>
      </c>
      <c r="AA72">
        <f>IF(P72="사급자재대", L72, 0)</f>
        <v>0</v>
      </c>
      <c r="AB72">
        <f>IF(P72="관급자재대", L72, 0)</f>
        <v>0</v>
      </c>
      <c r="AC72">
        <f>IF(P72="사용자항목1", L72, 0)</f>
        <v>0</v>
      </c>
      <c r="AD72">
        <f>IF(P72="사용자항목2", L72, 0)</f>
        <v>0</v>
      </c>
      <c r="AE72">
        <f>IF(P72="안전관리비", L72, 0)</f>
        <v>0</v>
      </c>
      <c r="AF72">
        <f>IF(P72="품질관리비", L72, 0)</f>
        <v>0</v>
      </c>
      <c r="AG72">
        <f>IF(P72="작업부산물(철거해체)", L72, 0)</f>
        <v>0</v>
      </c>
      <c r="AH72">
        <f>IF(P72="사용자항목6", L72, 0)</f>
        <v>0</v>
      </c>
      <c r="AI72">
        <f>IF(P72="사용자항목7", L72, 0)</f>
        <v>0</v>
      </c>
      <c r="AJ72">
        <f>IF(P72="사용자항목8", L72, 0)</f>
        <v>0</v>
      </c>
      <c r="AK72">
        <f>IF(P72="사용자항목9", L72, 0)</f>
        <v>0</v>
      </c>
      <c r="AL72">
        <f>IF(P72="사용자항목10", L72, 0)</f>
        <v>0</v>
      </c>
      <c r="AM72">
        <f>IF(P72="사용자항목11", L72, 0)</f>
        <v>0</v>
      </c>
      <c r="AN72">
        <f>IF(P72="사용자항목12", L72, 0)</f>
        <v>0</v>
      </c>
      <c r="AO72">
        <f>IF(P72="사용자항목13", L72, 0)</f>
        <v>0</v>
      </c>
      <c r="AP72">
        <f>IF(P72="사용자항목14", L72, 0)</f>
        <v>0</v>
      </c>
      <c r="AQ72">
        <f>IF(P72="사용자항목15", L72, 0)</f>
        <v>0</v>
      </c>
      <c r="AR72">
        <f>IF(P72="사용자항목16", L72, 0)</f>
        <v>0</v>
      </c>
      <c r="AS72">
        <f>IF(P72="사용자항목17", L72, 0)</f>
        <v>0</v>
      </c>
      <c r="AT72">
        <f>IF(P72="사용자항목18", L72, 0)</f>
        <v>0</v>
      </c>
      <c r="AU72">
        <f>IF(P72="사용자항목19", L72, 0)</f>
        <v>0</v>
      </c>
    </row>
    <row r="73" spans="1:51" ht="23.1" customHeight="1" x14ac:dyDescent="0.3">
      <c r="A73" s="15"/>
      <c r="B73" s="15"/>
      <c r="C73" s="22"/>
      <c r="D73" s="17"/>
      <c r="E73" s="17"/>
      <c r="F73" s="17"/>
      <c r="G73" s="17"/>
      <c r="H73" s="17"/>
      <c r="I73" s="17"/>
      <c r="J73" s="17"/>
      <c r="K73" s="17"/>
      <c r="L73" s="17"/>
      <c r="M73" s="17"/>
    </row>
    <row r="74" spans="1:51" ht="23.1" customHeight="1" x14ac:dyDescent="0.3">
      <c r="A74" s="15"/>
      <c r="B74" s="15"/>
      <c r="C74" s="22"/>
      <c r="D74" s="17"/>
      <c r="E74" s="17"/>
      <c r="F74" s="17"/>
      <c r="G74" s="17"/>
      <c r="H74" s="17"/>
      <c r="I74" s="17"/>
      <c r="J74" s="17"/>
      <c r="K74" s="17"/>
      <c r="L74" s="17"/>
      <c r="M74" s="17"/>
    </row>
    <row r="75" spans="1:51" ht="23.1" customHeight="1" x14ac:dyDescent="0.3">
      <c r="A75" s="15"/>
      <c r="B75" s="15"/>
      <c r="C75" s="22"/>
      <c r="D75" s="17"/>
      <c r="E75" s="17"/>
      <c r="F75" s="17"/>
      <c r="G75" s="17"/>
      <c r="H75" s="17"/>
      <c r="I75" s="17"/>
      <c r="J75" s="17"/>
      <c r="K75" s="17"/>
      <c r="L75" s="17"/>
      <c r="M75" s="17"/>
    </row>
    <row r="76" spans="1:51" ht="23.1" customHeight="1" x14ac:dyDescent="0.3">
      <c r="A76" s="15"/>
      <c r="B76" s="15"/>
      <c r="C76" s="22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51" ht="23.1" customHeight="1" x14ac:dyDescent="0.3">
      <c r="A77" s="15"/>
      <c r="B77" s="15"/>
      <c r="C77" s="22"/>
      <c r="D77" s="17"/>
      <c r="E77" s="17"/>
      <c r="F77" s="17"/>
      <c r="G77" s="17"/>
      <c r="H77" s="17"/>
      <c r="I77" s="17"/>
      <c r="J77" s="17"/>
      <c r="K77" s="17"/>
      <c r="L77" s="17"/>
      <c r="M77" s="17"/>
    </row>
    <row r="78" spans="1:51" ht="23.1" customHeight="1" x14ac:dyDescent="0.3">
      <c r="A78" s="15"/>
      <c r="B78" s="15"/>
      <c r="C78" s="22"/>
      <c r="D78" s="17"/>
      <c r="E78" s="17"/>
      <c r="F78" s="17"/>
      <c r="G78" s="17"/>
      <c r="H78" s="17"/>
      <c r="I78" s="17"/>
      <c r="J78" s="17"/>
      <c r="K78" s="17"/>
      <c r="L78" s="17"/>
      <c r="M78" s="17"/>
    </row>
    <row r="79" spans="1:51" ht="23.1" customHeight="1" x14ac:dyDescent="0.3">
      <c r="A79" s="15"/>
      <c r="B79" s="15"/>
      <c r="C79" s="22"/>
      <c r="D79" s="17"/>
      <c r="E79" s="17"/>
      <c r="F79" s="17"/>
      <c r="G79" s="17"/>
      <c r="H79" s="17"/>
      <c r="I79" s="17"/>
      <c r="J79" s="17"/>
      <c r="K79" s="17"/>
      <c r="L79" s="17"/>
      <c r="M79" s="17"/>
    </row>
    <row r="80" spans="1:51" ht="23.1" customHeight="1" x14ac:dyDescent="0.3">
      <c r="A80" s="15"/>
      <c r="B80" s="15"/>
      <c r="C80" s="22"/>
      <c r="D80" s="17"/>
      <c r="E80" s="17"/>
      <c r="F80" s="17"/>
      <c r="G80" s="17"/>
      <c r="H80" s="17"/>
      <c r="I80" s="17"/>
      <c r="J80" s="17"/>
      <c r="K80" s="17"/>
      <c r="L80" s="17"/>
      <c r="M80" s="17"/>
    </row>
    <row r="81" spans="1:51" ht="23.1" customHeight="1" x14ac:dyDescent="0.3">
      <c r="A81" s="15"/>
      <c r="B81" s="15"/>
      <c r="C81" s="22"/>
      <c r="D81" s="17"/>
      <c r="E81" s="17"/>
      <c r="F81" s="17"/>
      <c r="G81" s="17"/>
      <c r="H81" s="17"/>
      <c r="I81" s="17"/>
      <c r="J81" s="17"/>
      <c r="K81" s="17"/>
      <c r="L81" s="17"/>
      <c r="M81" s="17"/>
    </row>
    <row r="82" spans="1:51" ht="23.1" customHeight="1" x14ac:dyDescent="0.3">
      <c r="A82" s="15"/>
      <c r="B82" s="15"/>
      <c r="C82" s="22"/>
      <c r="D82" s="17"/>
      <c r="E82" s="17"/>
      <c r="F82" s="17"/>
      <c r="G82" s="17"/>
      <c r="H82" s="17"/>
      <c r="I82" s="17"/>
      <c r="J82" s="17"/>
      <c r="K82" s="17"/>
      <c r="L82" s="17"/>
      <c r="M82" s="17"/>
    </row>
    <row r="83" spans="1:51" ht="23.1" customHeight="1" x14ac:dyDescent="0.3">
      <c r="A83" s="15"/>
      <c r="B83" s="15"/>
      <c r="C83" s="22"/>
      <c r="D83" s="17"/>
      <c r="E83" s="17"/>
      <c r="F83" s="17"/>
      <c r="G83" s="17"/>
      <c r="H83" s="17"/>
      <c r="I83" s="17"/>
      <c r="J83" s="17"/>
      <c r="K83" s="17"/>
      <c r="L83" s="17"/>
      <c r="M83" s="17"/>
    </row>
    <row r="84" spans="1:51" ht="23.1" customHeight="1" x14ac:dyDescent="0.3">
      <c r="A84" s="18" t="s">
        <v>148</v>
      </c>
      <c r="B84" s="19"/>
      <c r="C84" s="20"/>
      <c r="D84" s="21"/>
      <c r="E84" s="21"/>
      <c r="F84" s="21">
        <f>ROUNDDOWN(SUMIF(Q70:Q83, "1", F70:F83), 0)</f>
        <v>0</v>
      </c>
      <c r="G84" s="21"/>
      <c r="H84" s="21">
        <f>ROUNDDOWN(SUMIF(Q70:Q83, "1", H70:H83), 0)</f>
        <v>0</v>
      </c>
      <c r="I84" s="21"/>
      <c r="J84" s="21">
        <f>ROUNDDOWN(SUMIF(Q70:Q83, "1", J70:J83), 0)</f>
        <v>0</v>
      </c>
      <c r="K84" s="21"/>
      <c r="L84" s="21">
        <f>F84+H84+J84</f>
        <v>0</v>
      </c>
      <c r="M84" s="21"/>
      <c r="R84">
        <f t="shared" ref="R84:AY84" si="34">ROUNDDOWN(SUM(R70:R72), 0)</f>
        <v>0</v>
      </c>
      <c r="S84">
        <f t="shared" si="34"/>
        <v>0</v>
      </c>
      <c r="T84">
        <f t="shared" si="34"/>
        <v>0</v>
      </c>
      <c r="U84">
        <f t="shared" si="34"/>
        <v>0</v>
      </c>
      <c r="V84">
        <f t="shared" si="34"/>
        <v>0</v>
      </c>
      <c r="W84">
        <f t="shared" si="34"/>
        <v>0</v>
      </c>
      <c r="X84">
        <f t="shared" si="34"/>
        <v>0</v>
      </c>
      <c r="Y84">
        <f t="shared" si="34"/>
        <v>0</v>
      </c>
      <c r="Z84">
        <f t="shared" si="34"/>
        <v>0</v>
      </c>
      <c r="AA84">
        <f t="shared" si="34"/>
        <v>0</v>
      </c>
      <c r="AB84">
        <f t="shared" si="34"/>
        <v>0</v>
      </c>
      <c r="AC84">
        <f t="shared" si="34"/>
        <v>0</v>
      </c>
      <c r="AD84">
        <f t="shared" si="34"/>
        <v>0</v>
      </c>
      <c r="AE84">
        <f t="shared" si="34"/>
        <v>0</v>
      </c>
      <c r="AF84">
        <f t="shared" si="34"/>
        <v>0</v>
      </c>
      <c r="AG84">
        <f t="shared" si="34"/>
        <v>0</v>
      </c>
      <c r="AH84">
        <f t="shared" si="34"/>
        <v>0</v>
      </c>
      <c r="AI84">
        <f t="shared" si="34"/>
        <v>0</v>
      </c>
      <c r="AJ84">
        <f t="shared" si="34"/>
        <v>0</v>
      </c>
      <c r="AK84">
        <f t="shared" si="34"/>
        <v>0</v>
      </c>
      <c r="AL84">
        <f t="shared" si="34"/>
        <v>0</v>
      </c>
      <c r="AM84">
        <f t="shared" si="34"/>
        <v>0</v>
      </c>
      <c r="AN84">
        <f t="shared" si="34"/>
        <v>0</v>
      </c>
      <c r="AO84">
        <f t="shared" si="34"/>
        <v>0</v>
      </c>
      <c r="AP84">
        <f t="shared" si="34"/>
        <v>0</v>
      </c>
      <c r="AQ84">
        <f t="shared" si="34"/>
        <v>0</v>
      </c>
      <c r="AR84">
        <f t="shared" si="34"/>
        <v>0</v>
      </c>
      <c r="AS84">
        <f t="shared" si="34"/>
        <v>0</v>
      </c>
      <c r="AT84">
        <f t="shared" si="34"/>
        <v>0</v>
      </c>
      <c r="AU84">
        <f t="shared" si="34"/>
        <v>0</v>
      </c>
      <c r="AV84">
        <f t="shared" si="34"/>
        <v>0</v>
      </c>
      <c r="AW84">
        <f t="shared" si="34"/>
        <v>0</v>
      </c>
      <c r="AX84">
        <f t="shared" si="34"/>
        <v>0</v>
      </c>
      <c r="AY84">
        <f t="shared" si="34"/>
        <v>0</v>
      </c>
    </row>
    <row r="85" spans="1:51" ht="23.1" customHeight="1" x14ac:dyDescent="0.3">
      <c r="A85" s="68" t="s">
        <v>274</v>
      </c>
      <c r="B85" s="69"/>
      <c r="C85" s="69"/>
      <c r="D85" s="69"/>
      <c r="E85" s="69"/>
      <c r="F85" s="69"/>
      <c r="G85" s="69"/>
      <c r="H85" s="69"/>
      <c r="I85" s="69"/>
      <c r="J85" s="69"/>
      <c r="K85" s="69"/>
      <c r="L85" s="69"/>
      <c r="M85" s="69"/>
    </row>
    <row r="86" spans="1:51" ht="23.1" customHeight="1" x14ac:dyDescent="0.3">
      <c r="A86" s="14" t="s">
        <v>221</v>
      </c>
      <c r="B86" s="14" t="s">
        <v>222</v>
      </c>
      <c r="C86" s="16" t="s">
        <v>108</v>
      </c>
      <c r="D86" s="17">
        <v>1</v>
      </c>
      <c r="E86" s="17"/>
      <c r="F86" s="17"/>
      <c r="G86" s="17"/>
      <c r="H86" s="17"/>
      <c r="I86" s="17"/>
      <c r="J86" s="17"/>
      <c r="K86" s="17"/>
      <c r="L86" s="17"/>
      <c r="M86" s="24"/>
      <c r="O86" t="str">
        <f>""</f>
        <v/>
      </c>
      <c r="P86" s="11" t="s">
        <v>137</v>
      </c>
      <c r="Q86">
        <v>1</v>
      </c>
      <c r="R86">
        <f>IF(P86="기계경비", J86, 0)</f>
        <v>0</v>
      </c>
      <c r="S86">
        <f>IF(P86="운반비", L86, 0)</f>
        <v>0</v>
      </c>
      <c r="T86">
        <f>IF(P86="작업부산물", F86, 0)</f>
        <v>0</v>
      </c>
      <c r="U86">
        <f>IF(P86="관급", F86, 0)</f>
        <v>0</v>
      </c>
      <c r="V86">
        <f>IF(P86="외주비", J86, 0)</f>
        <v>0</v>
      </c>
      <c r="W86">
        <f>IF(P86="장비비", J86, 0)</f>
        <v>0</v>
      </c>
      <c r="X86">
        <f>IF(P86="폐기물처리비", L86, 0)</f>
        <v>0</v>
      </c>
      <c r="Y86">
        <f>IF(P86="가설비", J86, 0)</f>
        <v>0</v>
      </c>
      <c r="Z86">
        <f>IF(P86="잡비제외분", F86, 0)</f>
        <v>0</v>
      </c>
      <c r="AA86">
        <f>IF(P86="사급자재대", L86, 0)</f>
        <v>0</v>
      </c>
      <c r="AB86">
        <f>IF(P86="관급자재대", L86, 0)</f>
        <v>0</v>
      </c>
      <c r="AC86">
        <f>IF(P86="사용자항목1", L86, 0)</f>
        <v>0</v>
      </c>
      <c r="AD86">
        <f>IF(P86="사용자항목2", L86, 0)</f>
        <v>0</v>
      </c>
      <c r="AE86">
        <f>IF(P86="안전관리비", L86, 0)</f>
        <v>0</v>
      </c>
      <c r="AF86">
        <f>IF(P86="품질관리비", L86, 0)</f>
        <v>0</v>
      </c>
      <c r="AG86">
        <f>IF(P86="작업부산물(철거해체)", L86, 0)</f>
        <v>0</v>
      </c>
      <c r="AH86">
        <f>IF(P86="사용자항목6", L86, 0)</f>
        <v>0</v>
      </c>
      <c r="AI86">
        <f>IF(P86="사용자항목7", L86, 0)</f>
        <v>0</v>
      </c>
      <c r="AJ86">
        <f>IF(P86="사용자항목8", L86, 0)</f>
        <v>0</v>
      </c>
      <c r="AK86">
        <f>IF(P86="사용자항목9", L86, 0)</f>
        <v>0</v>
      </c>
      <c r="AL86">
        <f>IF(P86="사용자항목10", L86, 0)</f>
        <v>0</v>
      </c>
      <c r="AM86">
        <f>IF(P86="사용자항목11", L86, 0)</f>
        <v>0</v>
      </c>
      <c r="AN86">
        <f>IF(P86="사용자항목12", L86, 0)</f>
        <v>0</v>
      </c>
      <c r="AO86">
        <f>IF(P86="사용자항목13", L86, 0)</f>
        <v>0</v>
      </c>
      <c r="AP86">
        <f>IF(P86="사용자항목14", L86, 0)</f>
        <v>0</v>
      </c>
      <c r="AQ86">
        <f>IF(P86="사용자항목15", L86, 0)</f>
        <v>0</v>
      </c>
      <c r="AR86">
        <f>IF(P86="사용자항목16", L86, 0)</f>
        <v>0</v>
      </c>
      <c r="AS86">
        <f>IF(P86="사용자항목17", L86, 0)</f>
        <v>0</v>
      </c>
      <c r="AT86">
        <f>IF(P86="사용자항목18", L86, 0)</f>
        <v>0</v>
      </c>
      <c r="AU86">
        <f>IF(P86="사용자항목19", L86, 0)</f>
        <v>0</v>
      </c>
    </row>
    <row r="87" spans="1:51" ht="23.1" customHeight="1" x14ac:dyDescent="0.3">
      <c r="A87" s="15"/>
      <c r="B87" s="15"/>
      <c r="C87" s="22"/>
      <c r="D87" s="17"/>
      <c r="E87" s="17"/>
      <c r="F87" s="17"/>
      <c r="G87" s="17"/>
      <c r="H87" s="17"/>
      <c r="I87" s="17"/>
      <c r="J87" s="17"/>
      <c r="K87" s="17"/>
      <c r="L87" s="17"/>
      <c r="M87" s="17"/>
    </row>
    <row r="88" spans="1:51" ht="23.1" customHeight="1" x14ac:dyDescent="0.3">
      <c r="A88" s="15"/>
      <c r="B88" s="15"/>
      <c r="C88" s="22"/>
      <c r="D88" s="17"/>
      <c r="E88" s="17"/>
      <c r="F88" s="17"/>
      <c r="G88" s="17"/>
      <c r="H88" s="17"/>
      <c r="I88" s="17"/>
      <c r="J88" s="17"/>
      <c r="K88" s="17"/>
      <c r="L88" s="17"/>
      <c r="M88" s="17"/>
    </row>
    <row r="89" spans="1:51" ht="23.1" customHeight="1" x14ac:dyDescent="0.3">
      <c r="A89" s="15"/>
      <c r="B89" s="15"/>
      <c r="C89" s="22"/>
      <c r="D89" s="17"/>
      <c r="E89" s="17"/>
      <c r="F89" s="17"/>
      <c r="G89" s="17"/>
      <c r="H89" s="17"/>
      <c r="I89" s="17"/>
      <c r="J89" s="17"/>
      <c r="K89" s="17"/>
      <c r="L89" s="17"/>
      <c r="M89" s="17"/>
    </row>
    <row r="90" spans="1:51" ht="23.1" customHeight="1" x14ac:dyDescent="0.3">
      <c r="A90" s="15"/>
      <c r="B90" s="15"/>
      <c r="C90" s="22"/>
      <c r="D90" s="17"/>
      <c r="E90" s="17"/>
      <c r="F90" s="17"/>
      <c r="G90" s="17"/>
      <c r="H90" s="17"/>
      <c r="I90" s="17"/>
      <c r="J90" s="17"/>
      <c r="K90" s="17"/>
      <c r="L90" s="17"/>
      <c r="M90" s="17"/>
    </row>
    <row r="91" spans="1:51" ht="23.1" customHeight="1" x14ac:dyDescent="0.3">
      <c r="A91" s="15"/>
      <c r="B91" s="15"/>
      <c r="C91" s="22"/>
      <c r="D91" s="17"/>
      <c r="E91" s="17"/>
      <c r="F91" s="17"/>
      <c r="G91" s="17"/>
      <c r="H91" s="17"/>
      <c r="I91" s="17"/>
      <c r="J91" s="17"/>
      <c r="K91" s="17"/>
      <c r="L91" s="17"/>
      <c r="M91" s="17"/>
    </row>
    <row r="92" spans="1:51" ht="23.1" customHeight="1" x14ac:dyDescent="0.3">
      <c r="A92" s="15"/>
      <c r="B92" s="15"/>
      <c r="C92" s="22"/>
      <c r="D92" s="17"/>
      <c r="E92" s="17"/>
      <c r="F92" s="17"/>
      <c r="G92" s="17"/>
      <c r="H92" s="17"/>
      <c r="I92" s="17"/>
      <c r="J92" s="17"/>
      <c r="K92" s="17"/>
      <c r="L92" s="17"/>
      <c r="M92" s="17"/>
    </row>
    <row r="93" spans="1:51" ht="23.1" customHeight="1" x14ac:dyDescent="0.3">
      <c r="A93" s="15"/>
      <c r="B93" s="15"/>
      <c r="C93" s="22"/>
      <c r="D93" s="17"/>
      <c r="E93" s="17"/>
      <c r="F93" s="17"/>
      <c r="G93" s="17"/>
      <c r="H93" s="17"/>
      <c r="I93" s="17"/>
      <c r="J93" s="17"/>
      <c r="K93" s="17"/>
      <c r="L93" s="17"/>
      <c r="M93" s="17"/>
    </row>
    <row r="94" spans="1:51" ht="23.1" customHeight="1" x14ac:dyDescent="0.3">
      <c r="A94" s="15"/>
      <c r="B94" s="15"/>
      <c r="C94" s="22"/>
      <c r="D94" s="17"/>
      <c r="E94" s="17"/>
      <c r="F94" s="17"/>
      <c r="G94" s="17"/>
      <c r="H94" s="17"/>
      <c r="I94" s="17"/>
      <c r="J94" s="17"/>
      <c r="K94" s="17"/>
      <c r="L94" s="17"/>
      <c r="M94" s="17"/>
    </row>
    <row r="95" spans="1:51" ht="23.1" customHeight="1" x14ac:dyDescent="0.3">
      <c r="A95" s="15"/>
      <c r="B95" s="15"/>
      <c r="C95" s="22"/>
      <c r="D95" s="17"/>
      <c r="E95" s="17"/>
      <c r="F95" s="17"/>
      <c r="G95" s="17"/>
      <c r="H95" s="17"/>
      <c r="I95" s="17"/>
      <c r="J95" s="17"/>
      <c r="K95" s="17"/>
      <c r="L95" s="17"/>
      <c r="M95" s="17"/>
    </row>
    <row r="96" spans="1:51" ht="23.1" customHeight="1" x14ac:dyDescent="0.3">
      <c r="A96" s="15"/>
      <c r="B96" s="15"/>
      <c r="C96" s="22"/>
      <c r="D96" s="17"/>
      <c r="E96" s="17"/>
      <c r="F96" s="17"/>
      <c r="G96" s="17"/>
      <c r="H96" s="17"/>
      <c r="I96" s="17"/>
      <c r="J96" s="17"/>
      <c r="K96" s="17"/>
      <c r="L96" s="17"/>
      <c r="M96" s="17"/>
    </row>
    <row r="97" spans="1:51" ht="23.1" customHeight="1" x14ac:dyDescent="0.3">
      <c r="A97" s="15"/>
      <c r="B97" s="15"/>
      <c r="C97" s="22"/>
      <c r="D97" s="17"/>
      <c r="E97" s="17"/>
      <c r="F97" s="17"/>
      <c r="G97" s="17"/>
      <c r="H97" s="17"/>
      <c r="I97" s="17"/>
      <c r="J97" s="17"/>
      <c r="K97" s="17"/>
      <c r="L97" s="17"/>
      <c r="M97" s="17"/>
    </row>
    <row r="98" spans="1:51" ht="23.1" customHeight="1" x14ac:dyDescent="0.3">
      <c r="A98" s="15"/>
      <c r="B98" s="15"/>
      <c r="C98" s="22"/>
      <c r="D98" s="17"/>
      <c r="E98" s="17"/>
      <c r="F98" s="17"/>
      <c r="G98" s="17"/>
      <c r="H98" s="17"/>
      <c r="I98" s="17"/>
      <c r="J98" s="17"/>
      <c r="K98" s="17"/>
      <c r="L98" s="17"/>
      <c r="M98" s="17"/>
    </row>
    <row r="99" spans="1:51" ht="23.1" customHeight="1" x14ac:dyDescent="0.3">
      <c r="A99" s="15"/>
      <c r="B99" s="15"/>
      <c r="C99" s="22"/>
      <c r="D99" s="17"/>
      <c r="E99" s="17"/>
      <c r="F99" s="17"/>
      <c r="G99" s="17"/>
      <c r="H99" s="17"/>
      <c r="I99" s="17"/>
      <c r="J99" s="17"/>
      <c r="K99" s="17"/>
      <c r="L99" s="17"/>
      <c r="M99" s="17"/>
    </row>
    <row r="100" spans="1:51" ht="23.1" customHeight="1" x14ac:dyDescent="0.3">
      <c r="A100" s="18" t="s">
        <v>148</v>
      </c>
      <c r="B100" s="19"/>
      <c r="C100" s="20"/>
      <c r="D100" s="21"/>
      <c r="E100" s="21"/>
      <c r="F100" s="21">
        <f>ROUNDDOWN(SUMIF(Q86:Q99, "1", F86:F99), 0)</f>
        <v>0</v>
      </c>
      <c r="G100" s="21"/>
      <c r="H100" s="21">
        <f>ROUNDDOWN(SUMIF(Q86:Q99, "1", H86:H99), 0)</f>
        <v>0</v>
      </c>
      <c r="I100" s="21"/>
      <c r="J100" s="21">
        <f>ROUNDDOWN(SUMIF(Q86:Q99, "1", J86:J99), 0)</f>
        <v>0</v>
      </c>
      <c r="K100" s="21"/>
      <c r="L100" s="21">
        <f>F100+H100+J100</f>
        <v>0</v>
      </c>
      <c r="M100" s="21"/>
      <c r="R100">
        <f t="shared" ref="R100:AY100" si="35">ROUNDDOWN(SUM(R86:R86), 0)</f>
        <v>0</v>
      </c>
      <c r="S100">
        <f t="shared" si="35"/>
        <v>0</v>
      </c>
      <c r="T100">
        <f t="shared" si="35"/>
        <v>0</v>
      </c>
      <c r="U100">
        <f t="shared" si="35"/>
        <v>0</v>
      </c>
      <c r="V100">
        <f t="shared" si="35"/>
        <v>0</v>
      </c>
      <c r="W100">
        <f t="shared" si="35"/>
        <v>0</v>
      </c>
      <c r="X100">
        <f t="shared" si="35"/>
        <v>0</v>
      </c>
      <c r="Y100">
        <f t="shared" si="35"/>
        <v>0</v>
      </c>
      <c r="Z100">
        <f t="shared" si="35"/>
        <v>0</v>
      </c>
      <c r="AA100">
        <f t="shared" si="35"/>
        <v>0</v>
      </c>
      <c r="AB100">
        <f t="shared" si="35"/>
        <v>0</v>
      </c>
      <c r="AC100">
        <f t="shared" si="35"/>
        <v>0</v>
      </c>
      <c r="AD100">
        <f t="shared" si="35"/>
        <v>0</v>
      </c>
      <c r="AE100">
        <f t="shared" si="35"/>
        <v>0</v>
      </c>
      <c r="AF100">
        <f t="shared" si="35"/>
        <v>0</v>
      </c>
      <c r="AG100">
        <f t="shared" si="35"/>
        <v>0</v>
      </c>
      <c r="AH100">
        <f t="shared" si="35"/>
        <v>0</v>
      </c>
      <c r="AI100">
        <f t="shared" si="35"/>
        <v>0</v>
      </c>
      <c r="AJ100">
        <f t="shared" si="35"/>
        <v>0</v>
      </c>
      <c r="AK100">
        <f t="shared" si="35"/>
        <v>0</v>
      </c>
      <c r="AL100">
        <f t="shared" si="35"/>
        <v>0</v>
      </c>
      <c r="AM100">
        <f t="shared" si="35"/>
        <v>0</v>
      </c>
      <c r="AN100">
        <f t="shared" si="35"/>
        <v>0</v>
      </c>
      <c r="AO100">
        <f t="shared" si="35"/>
        <v>0</v>
      </c>
      <c r="AP100">
        <f t="shared" si="35"/>
        <v>0</v>
      </c>
      <c r="AQ100">
        <f t="shared" si="35"/>
        <v>0</v>
      </c>
      <c r="AR100">
        <f t="shared" si="35"/>
        <v>0</v>
      </c>
      <c r="AS100">
        <f t="shared" si="35"/>
        <v>0</v>
      </c>
      <c r="AT100">
        <f t="shared" si="35"/>
        <v>0</v>
      </c>
      <c r="AU100">
        <f t="shared" si="35"/>
        <v>0</v>
      </c>
      <c r="AV100">
        <f t="shared" si="35"/>
        <v>0</v>
      </c>
      <c r="AW100">
        <f t="shared" si="35"/>
        <v>0</v>
      </c>
      <c r="AX100">
        <f t="shared" si="35"/>
        <v>0</v>
      </c>
      <c r="AY100">
        <f t="shared" si="35"/>
        <v>0</v>
      </c>
    </row>
  </sheetData>
  <mergeCells count="15">
    <mergeCell ref="A5:M5"/>
    <mergeCell ref="A21:M21"/>
    <mergeCell ref="A69:M69"/>
    <mergeCell ref="A85:M8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1" type="noConversion"/>
  <conditionalFormatting sqref="A6:M100 A5">
    <cfRule type="containsText" dxfId="11" priority="1" stopIfTrue="1" operator="containsText" text=".">
      <formula>NOT(ISERROR(SEARCH(".",A5)))</formula>
    </cfRule>
    <cfRule type="notContainsText" dxfId="10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6" manualBreakCount="6">
    <brk id="20" max="16383" man="1"/>
    <brk id="36" max="16383" man="1"/>
    <brk id="52" max="16383" man="1"/>
    <brk id="68" max="16383" man="1"/>
    <brk id="84" max="16383" man="1"/>
    <brk id="10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27553-BFE3-4E37-8EB9-0ECCC2EB7B92}">
  <sheetPr>
    <tabColor rgb="FFF19D86"/>
  </sheetPr>
  <dimension ref="A1:O20"/>
  <sheetViews>
    <sheetView workbookViewId="0">
      <pane xSplit="4" ySplit="4" topLeftCell="E5" activePane="bottomRight" state="frozen"/>
      <selection activeCell="A3" sqref="A3:A4"/>
      <selection pane="topRight" activeCell="A3" sqref="A3:A4"/>
      <selection pane="bottomLeft" activeCell="A3" sqref="A3:A4"/>
      <selection pane="bottomRight" activeCell="A3" sqref="A3:A4"/>
    </sheetView>
  </sheetViews>
  <sheetFormatPr defaultRowHeight="16.5" x14ac:dyDescent="0.3"/>
  <cols>
    <col min="1" max="1" width="6.625" style="2" customWidth="1"/>
    <col min="2" max="3" width="20.625" style="1" customWidth="1"/>
    <col min="4" max="4" width="4.625" style="2" customWidth="1"/>
    <col min="5" max="5" width="6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1" customWidth="1"/>
    <col min="15" max="18" width="0" hidden="1" customWidth="1"/>
  </cols>
  <sheetData>
    <row r="1" spans="1:15" ht="30" customHeight="1" x14ac:dyDescent="0.3">
      <c r="A1" s="55" t="s">
        <v>191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5" ht="23.1" customHeight="1" x14ac:dyDescent="0.3">
      <c r="A2" s="56" t="s">
        <v>339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5" ht="23.1" customHeight="1" x14ac:dyDescent="0.3">
      <c r="A3" s="64" t="s">
        <v>150</v>
      </c>
      <c r="B3" s="64" t="s">
        <v>160</v>
      </c>
      <c r="C3" s="64" t="s">
        <v>161</v>
      </c>
      <c r="D3" s="64" t="s">
        <v>3</v>
      </c>
      <c r="E3" s="64" t="s">
        <v>151</v>
      </c>
      <c r="F3" s="64" t="s">
        <v>152</v>
      </c>
      <c r="G3" s="64"/>
      <c r="H3" s="64" t="s">
        <v>153</v>
      </c>
      <c r="I3" s="64"/>
      <c r="J3" s="64" t="s">
        <v>154</v>
      </c>
      <c r="K3" s="64"/>
      <c r="L3" s="64" t="s">
        <v>155</v>
      </c>
      <c r="M3" s="64"/>
      <c r="N3" s="64" t="s">
        <v>122</v>
      </c>
    </row>
    <row r="4" spans="1:15" ht="23.1" customHeight="1" x14ac:dyDescent="0.3">
      <c r="A4" s="64"/>
      <c r="B4" s="64"/>
      <c r="C4" s="64"/>
      <c r="D4" s="64"/>
      <c r="E4" s="64"/>
      <c r="F4" s="12" t="s">
        <v>123</v>
      </c>
      <c r="G4" s="12" t="s">
        <v>192</v>
      </c>
      <c r="H4" s="12" t="s">
        <v>123</v>
      </c>
      <c r="I4" s="12" t="s">
        <v>192</v>
      </c>
      <c r="J4" s="12" t="s">
        <v>123</v>
      </c>
      <c r="K4" s="12" t="s">
        <v>192</v>
      </c>
      <c r="L4" s="12" t="s">
        <v>123</v>
      </c>
      <c r="M4" s="12" t="s">
        <v>192</v>
      </c>
      <c r="N4" s="64"/>
      <c r="O4" t="s">
        <v>15</v>
      </c>
    </row>
    <row r="5" spans="1:15" ht="23.1" customHeight="1" x14ac:dyDescent="0.3">
      <c r="A5" s="16" t="s">
        <v>193</v>
      </c>
      <c r="B5" s="14" t="s">
        <v>194</v>
      </c>
      <c r="C5" s="14" t="s">
        <v>195</v>
      </c>
      <c r="D5" s="16" t="s">
        <v>24</v>
      </c>
      <c r="E5" s="22">
        <v>1</v>
      </c>
      <c r="F5" s="17">
        <f>일위대가표!F9</f>
        <v>0</v>
      </c>
      <c r="G5" s="17">
        <f t="shared" ref="G5:G15" si="0">E5*F5</f>
        <v>0</v>
      </c>
      <c r="H5" s="17">
        <f>일위대가표!H9</f>
        <v>17664</v>
      </c>
      <c r="I5" s="17">
        <f t="shared" ref="I5:I15" si="1">E5*H5</f>
        <v>17664</v>
      </c>
      <c r="J5" s="17">
        <f>일위대가표!J9</f>
        <v>353</v>
      </c>
      <c r="K5" s="17">
        <f t="shared" ref="K5:K15" si="2">E5*J5</f>
        <v>353</v>
      </c>
      <c r="L5" s="17">
        <f t="shared" ref="L5:L15" si="3">F5+H5+J5</f>
        <v>18017</v>
      </c>
      <c r="M5" s="17">
        <f t="shared" ref="M5:M15" si="4">G5+I5+K5</f>
        <v>18017</v>
      </c>
      <c r="N5" s="14" t="s">
        <v>167</v>
      </c>
    </row>
    <row r="6" spans="1:15" ht="23.1" customHeight="1" x14ac:dyDescent="0.3">
      <c r="A6" s="16" t="s">
        <v>196</v>
      </c>
      <c r="B6" s="14" t="s">
        <v>194</v>
      </c>
      <c r="C6" s="14" t="s">
        <v>197</v>
      </c>
      <c r="D6" s="16" t="s">
        <v>24</v>
      </c>
      <c r="E6" s="22">
        <v>1</v>
      </c>
      <c r="F6" s="17">
        <f>일위대가표!F15</f>
        <v>0</v>
      </c>
      <c r="G6" s="17">
        <f t="shared" si="0"/>
        <v>0</v>
      </c>
      <c r="H6" s="17">
        <f>일위대가표!H15</f>
        <v>14547</v>
      </c>
      <c r="I6" s="17">
        <f t="shared" si="1"/>
        <v>14547</v>
      </c>
      <c r="J6" s="17">
        <f>일위대가표!J15</f>
        <v>290</v>
      </c>
      <c r="K6" s="17">
        <f t="shared" si="2"/>
        <v>290</v>
      </c>
      <c r="L6" s="17">
        <f t="shared" si="3"/>
        <v>14837</v>
      </c>
      <c r="M6" s="17">
        <f t="shared" si="4"/>
        <v>14837</v>
      </c>
      <c r="N6" s="14" t="s">
        <v>167</v>
      </c>
    </row>
    <row r="7" spans="1:15" ht="23.1" customHeight="1" x14ac:dyDescent="0.3">
      <c r="A7" s="16" t="s">
        <v>198</v>
      </c>
      <c r="B7" s="14" t="s">
        <v>199</v>
      </c>
      <c r="C7" s="14" t="s">
        <v>200</v>
      </c>
      <c r="D7" s="16" t="s">
        <v>24</v>
      </c>
      <c r="E7" s="22">
        <v>1</v>
      </c>
      <c r="F7" s="17">
        <f>일위대가표!F21</f>
        <v>0</v>
      </c>
      <c r="G7" s="17">
        <f t="shared" si="0"/>
        <v>0</v>
      </c>
      <c r="H7" s="17">
        <f>일위대가표!H21</f>
        <v>17664</v>
      </c>
      <c r="I7" s="17">
        <f t="shared" si="1"/>
        <v>17664</v>
      </c>
      <c r="J7" s="17">
        <f>일위대가표!J21</f>
        <v>353</v>
      </c>
      <c r="K7" s="17">
        <f t="shared" si="2"/>
        <v>353</v>
      </c>
      <c r="L7" s="17">
        <f t="shared" si="3"/>
        <v>18017</v>
      </c>
      <c r="M7" s="17">
        <f t="shared" si="4"/>
        <v>18017</v>
      </c>
      <c r="N7" s="14" t="s">
        <v>167</v>
      </c>
    </row>
    <row r="8" spans="1:15" ht="23.1" customHeight="1" x14ac:dyDescent="0.3">
      <c r="A8" s="16" t="s">
        <v>201</v>
      </c>
      <c r="B8" s="14" t="s">
        <v>202</v>
      </c>
      <c r="C8" s="14" t="s">
        <v>203</v>
      </c>
      <c r="D8" s="16" t="s">
        <v>204</v>
      </c>
      <c r="E8" s="22">
        <v>1</v>
      </c>
      <c r="F8" s="17">
        <f>일위대가표!F27</f>
        <v>4797</v>
      </c>
      <c r="G8" s="17">
        <f t="shared" si="0"/>
        <v>4797</v>
      </c>
      <c r="H8" s="17">
        <f>일위대가표!H27</f>
        <v>0</v>
      </c>
      <c r="I8" s="17">
        <f t="shared" si="1"/>
        <v>0</v>
      </c>
      <c r="J8" s="17">
        <f>일위대가표!J27</f>
        <v>0</v>
      </c>
      <c r="K8" s="17">
        <f t="shared" si="2"/>
        <v>0</v>
      </c>
      <c r="L8" s="17">
        <f t="shared" si="3"/>
        <v>4797</v>
      </c>
      <c r="M8" s="17">
        <f t="shared" si="4"/>
        <v>4797</v>
      </c>
      <c r="N8" s="15"/>
    </row>
    <row r="9" spans="1:15" ht="23.1" customHeight="1" x14ac:dyDescent="0.3">
      <c r="A9" s="16" t="s">
        <v>205</v>
      </c>
      <c r="B9" s="14" t="s">
        <v>206</v>
      </c>
      <c r="C9" s="14" t="s">
        <v>207</v>
      </c>
      <c r="D9" s="16" t="s">
        <v>208</v>
      </c>
      <c r="E9" s="22">
        <v>1</v>
      </c>
      <c r="F9" s="17">
        <f>일위대가표!F31</f>
        <v>0</v>
      </c>
      <c r="G9" s="17">
        <f t="shared" si="0"/>
        <v>0</v>
      </c>
      <c r="H9" s="17">
        <f>일위대가표!H31</f>
        <v>5310</v>
      </c>
      <c r="I9" s="17">
        <f t="shared" si="1"/>
        <v>5310</v>
      </c>
      <c r="J9" s="17">
        <f>일위대가표!J31</f>
        <v>0</v>
      </c>
      <c r="K9" s="17">
        <f t="shared" si="2"/>
        <v>0</v>
      </c>
      <c r="L9" s="17">
        <f t="shared" si="3"/>
        <v>5310</v>
      </c>
      <c r="M9" s="17">
        <f t="shared" si="4"/>
        <v>5310</v>
      </c>
      <c r="N9" s="14" t="s">
        <v>176</v>
      </c>
      <c r="O9" s="11" t="s">
        <v>209</v>
      </c>
    </row>
    <row r="10" spans="1:15" ht="23.1" customHeight="1" x14ac:dyDescent="0.3">
      <c r="A10" s="16" t="s">
        <v>210</v>
      </c>
      <c r="B10" s="14" t="s">
        <v>211</v>
      </c>
      <c r="C10" s="14" t="s">
        <v>212</v>
      </c>
      <c r="D10" s="16" t="s">
        <v>59</v>
      </c>
      <c r="E10" s="22">
        <v>1</v>
      </c>
      <c r="F10" s="17">
        <f>일위대가표!F37</f>
        <v>35920</v>
      </c>
      <c r="G10" s="17">
        <f t="shared" si="0"/>
        <v>35920</v>
      </c>
      <c r="H10" s="17">
        <f>일위대가표!H37</f>
        <v>14422</v>
      </c>
      <c r="I10" s="17">
        <f t="shared" si="1"/>
        <v>14422</v>
      </c>
      <c r="J10" s="17">
        <f>일위대가표!J37</f>
        <v>0</v>
      </c>
      <c r="K10" s="17">
        <f t="shared" si="2"/>
        <v>0</v>
      </c>
      <c r="L10" s="17">
        <f t="shared" si="3"/>
        <v>50342</v>
      </c>
      <c r="M10" s="17">
        <f t="shared" si="4"/>
        <v>50342</v>
      </c>
      <c r="N10" s="14" t="s">
        <v>178</v>
      </c>
    </row>
    <row r="11" spans="1:15" ht="23.1" customHeight="1" x14ac:dyDescent="0.3">
      <c r="A11" s="16" t="s">
        <v>181</v>
      </c>
      <c r="B11" s="14" t="s">
        <v>179</v>
      </c>
      <c r="C11" s="14" t="s">
        <v>180</v>
      </c>
      <c r="D11" s="16" t="s">
        <v>59</v>
      </c>
      <c r="E11" s="22">
        <v>1</v>
      </c>
      <c r="F11" s="17">
        <f>일위대가표!F42</f>
        <v>0</v>
      </c>
      <c r="G11" s="17">
        <f t="shared" si="0"/>
        <v>0</v>
      </c>
      <c r="H11" s="17">
        <f>일위대가표!H42</f>
        <v>14422</v>
      </c>
      <c r="I11" s="17">
        <f t="shared" si="1"/>
        <v>14422</v>
      </c>
      <c r="J11" s="17">
        <f>일위대가표!J42</f>
        <v>0</v>
      </c>
      <c r="K11" s="17">
        <f t="shared" si="2"/>
        <v>0</v>
      </c>
      <c r="L11" s="17">
        <f t="shared" si="3"/>
        <v>14422</v>
      </c>
      <c r="M11" s="17">
        <f t="shared" si="4"/>
        <v>14422</v>
      </c>
      <c r="N11" s="14" t="s">
        <v>178</v>
      </c>
      <c r="O11" s="11" t="s">
        <v>182</v>
      </c>
    </row>
    <row r="12" spans="1:15" ht="23.1" customHeight="1" x14ac:dyDescent="0.3">
      <c r="A12" s="16" t="s">
        <v>213</v>
      </c>
      <c r="B12" s="14" t="s">
        <v>214</v>
      </c>
      <c r="C12" s="14" t="s">
        <v>215</v>
      </c>
      <c r="D12" s="16" t="s">
        <v>204</v>
      </c>
      <c r="E12" s="22">
        <v>1</v>
      </c>
      <c r="F12" s="17">
        <f>일위대가표!F48</f>
        <v>6113</v>
      </c>
      <c r="G12" s="17">
        <f t="shared" si="0"/>
        <v>6113</v>
      </c>
      <c r="H12" s="17">
        <f>일위대가표!H48</f>
        <v>305668</v>
      </c>
      <c r="I12" s="17">
        <f t="shared" si="1"/>
        <v>305668</v>
      </c>
      <c r="J12" s="17">
        <f>일위대가표!J48</f>
        <v>0</v>
      </c>
      <c r="K12" s="17">
        <f t="shared" si="2"/>
        <v>0</v>
      </c>
      <c r="L12" s="17">
        <f t="shared" si="3"/>
        <v>311781</v>
      </c>
      <c r="M12" s="17">
        <f t="shared" si="4"/>
        <v>311781</v>
      </c>
      <c r="N12" s="14" t="s">
        <v>185</v>
      </c>
    </row>
    <row r="13" spans="1:15" ht="23.1" customHeight="1" x14ac:dyDescent="0.3">
      <c r="A13" s="16" t="s">
        <v>216</v>
      </c>
      <c r="B13" s="14" t="s">
        <v>214</v>
      </c>
      <c r="C13" s="14" t="s">
        <v>217</v>
      </c>
      <c r="D13" s="16" t="s">
        <v>204</v>
      </c>
      <c r="E13" s="22">
        <v>1</v>
      </c>
      <c r="F13" s="17">
        <f>일위대가표!F54</f>
        <v>5313</v>
      </c>
      <c r="G13" s="17">
        <f t="shared" si="0"/>
        <v>5313</v>
      </c>
      <c r="H13" s="17">
        <f>일위대가표!H54</f>
        <v>265678</v>
      </c>
      <c r="I13" s="17">
        <f t="shared" si="1"/>
        <v>265678</v>
      </c>
      <c r="J13" s="17">
        <f>일위대가표!J54</f>
        <v>0</v>
      </c>
      <c r="K13" s="17">
        <f t="shared" si="2"/>
        <v>0</v>
      </c>
      <c r="L13" s="17">
        <f t="shared" si="3"/>
        <v>270991</v>
      </c>
      <c r="M13" s="17">
        <f t="shared" si="4"/>
        <v>270991</v>
      </c>
      <c r="N13" s="14" t="s">
        <v>185</v>
      </c>
    </row>
    <row r="14" spans="1:15" ht="23.1" customHeight="1" x14ac:dyDescent="0.3">
      <c r="A14" s="16" t="s">
        <v>218</v>
      </c>
      <c r="B14" s="14" t="s">
        <v>214</v>
      </c>
      <c r="C14" s="14" t="s">
        <v>219</v>
      </c>
      <c r="D14" s="16" t="s">
        <v>204</v>
      </c>
      <c r="E14" s="22">
        <v>1</v>
      </c>
      <c r="F14" s="17">
        <f>일위대가표!F60</f>
        <v>4513</v>
      </c>
      <c r="G14" s="17">
        <f t="shared" si="0"/>
        <v>4513</v>
      </c>
      <c r="H14" s="17">
        <f>일위대가표!H60</f>
        <v>225688</v>
      </c>
      <c r="I14" s="17">
        <f t="shared" si="1"/>
        <v>225688</v>
      </c>
      <c r="J14" s="17">
        <f>일위대가표!J60</f>
        <v>0</v>
      </c>
      <c r="K14" s="17">
        <f t="shared" si="2"/>
        <v>0</v>
      </c>
      <c r="L14" s="17">
        <f t="shared" si="3"/>
        <v>230201</v>
      </c>
      <c r="M14" s="17">
        <f t="shared" si="4"/>
        <v>230201</v>
      </c>
      <c r="N14" s="14" t="s">
        <v>185</v>
      </c>
    </row>
    <row r="15" spans="1:15" ht="23.1" customHeight="1" x14ac:dyDescent="0.3">
      <c r="A15" s="16" t="s">
        <v>220</v>
      </c>
      <c r="B15" s="14" t="s">
        <v>221</v>
      </c>
      <c r="C15" s="14" t="s">
        <v>222</v>
      </c>
      <c r="D15" s="16" t="s">
        <v>108</v>
      </c>
      <c r="E15" s="22">
        <v>1</v>
      </c>
      <c r="F15" s="17">
        <f>일위대가표!F64</f>
        <v>0</v>
      </c>
      <c r="G15" s="17">
        <f t="shared" si="0"/>
        <v>0</v>
      </c>
      <c r="H15" s="17">
        <f>일위대가표!H64</f>
        <v>0</v>
      </c>
      <c r="I15" s="17">
        <f t="shared" si="1"/>
        <v>0</v>
      </c>
      <c r="J15" s="17">
        <f>일위대가표!J64</f>
        <v>192887</v>
      </c>
      <c r="K15" s="17">
        <f t="shared" si="2"/>
        <v>192887</v>
      </c>
      <c r="L15" s="17">
        <f t="shared" si="3"/>
        <v>192887</v>
      </c>
      <c r="M15" s="17">
        <f t="shared" si="4"/>
        <v>192887</v>
      </c>
      <c r="N15" s="14" t="s">
        <v>113</v>
      </c>
    </row>
    <row r="16" spans="1:15" ht="23.1" customHeight="1" x14ac:dyDescent="0.3">
      <c r="A16" s="22"/>
      <c r="B16" s="15"/>
      <c r="C16" s="15"/>
      <c r="D16" s="22"/>
      <c r="E16" s="22"/>
      <c r="F16" s="17"/>
      <c r="G16" s="17"/>
      <c r="H16" s="17"/>
      <c r="I16" s="17"/>
      <c r="J16" s="17"/>
      <c r="K16" s="17"/>
      <c r="L16" s="17"/>
      <c r="M16" s="17"/>
      <c r="N16" s="15"/>
    </row>
    <row r="17" spans="1:14" ht="23.1" customHeight="1" x14ac:dyDescent="0.3">
      <c r="A17" s="22"/>
      <c r="B17" s="15"/>
      <c r="C17" s="15"/>
      <c r="D17" s="22"/>
      <c r="E17" s="22"/>
      <c r="F17" s="17"/>
      <c r="G17" s="17"/>
      <c r="H17" s="17"/>
      <c r="I17" s="17"/>
      <c r="J17" s="17"/>
      <c r="K17" s="17"/>
      <c r="L17" s="17"/>
      <c r="M17" s="17"/>
      <c r="N17" s="15"/>
    </row>
    <row r="18" spans="1:14" ht="23.1" customHeight="1" x14ac:dyDescent="0.3">
      <c r="A18" s="22"/>
      <c r="B18" s="15"/>
      <c r="C18" s="15"/>
      <c r="D18" s="22"/>
      <c r="E18" s="22"/>
      <c r="F18" s="17"/>
      <c r="G18" s="17"/>
      <c r="H18" s="17"/>
      <c r="I18" s="17"/>
      <c r="J18" s="17"/>
      <c r="K18" s="17"/>
      <c r="L18" s="17"/>
      <c r="M18" s="17"/>
      <c r="N18" s="15"/>
    </row>
    <row r="19" spans="1:14" ht="23.1" customHeight="1" x14ac:dyDescent="0.3">
      <c r="A19" s="22"/>
      <c r="B19" s="15"/>
      <c r="C19" s="15"/>
      <c r="D19" s="22"/>
      <c r="E19" s="22"/>
      <c r="F19" s="17"/>
      <c r="G19" s="17"/>
      <c r="H19" s="17"/>
      <c r="I19" s="17"/>
      <c r="J19" s="17"/>
      <c r="K19" s="17"/>
      <c r="L19" s="17"/>
      <c r="M19" s="17"/>
      <c r="N19" s="15"/>
    </row>
    <row r="20" spans="1:14" ht="23.1" customHeight="1" x14ac:dyDescent="0.3">
      <c r="A20" s="22"/>
      <c r="B20" s="15"/>
      <c r="C20" s="15"/>
      <c r="D20" s="22"/>
      <c r="E20" s="22"/>
      <c r="F20" s="17"/>
      <c r="G20" s="17"/>
      <c r="H20" s="17"/>
      <c r="I20" s="17"/>
      <c r="J20" s="17"/>
      <c r="K20" s="17"/>
      <c r="L20" s="17"/>
      <c r="M20" s="17"/>
      <c r="N20" s="15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20">
    <cfRule type="containsText" dxfId="9" priority="1" stopIfTrue="1" operator="containsText" text=".">
      <formula>NOT(ISERROR(SEARCH(".",A5)))</formula>
    </cfRule>
    <cfRule type="notContainsText" dxfId="8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A81DC-513C-4BDA-B1B7-CE7C7B4D9CB1}">
  <sheetPr>
    <tabColor rgb="FFFFFFB7"/>
  </sheetPr>
  <dimension ref="A1:T68"/>
  <sheetViews>
    <sheetView workbookViewId="0">
      <pane xSplit="4" ySplit="4" topLeftCell="E5" activePane="bottomRight" state="frozen"/>
      <selection activeCell="A3" sqref="A3:A4"/>
      <selection pane="topRight" activeCell="A3" sqref="A3:A4"/>
      <selection pane="bottomLeft" activeCell="A3" sqref="A3:A4"/>
      <selection pane="bottomRight" activeCell="A3" sqref="A3:A4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1" customWidth="1"/>
    <col min="14" max="20" width="0" hidden="1" customWidth="1"/>
  </cols>
  <sheetData>
    <row r="1" spans="1:20" ht="30" customHeight="1" x14ac:dyDescent="0.3">
      <c r="A1" s="55" t="s">
        <v>159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0" ht="23.1" customHeight="1" x14ac:dyDescent="0.3">
      <c r="A2" s="56" t="s">
        <v>339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20" ht="23.1" customHeight="1" x14ac:dyDescent="0.3">
      <c r="A3" s="64" t="s">
        <v>160</v>
      </c>
      <c r="B3" s="64" t="s">
        <v>161</v>
      </c>
      <c r="C3" s="64" t="s">
        <v>3</v>
      </c>
      <c r="D3" s="64" t="s">
        <v>117</v>
      </c>
      <c r="E3" s="64" t="s">
        <v>162</v>
      </c>
      <c r="F3" s="64"/>
      <c r="G3" s="64" t="s">
        <v>163</v>
      </c>
      <c r="H3" s="64"/>
      <c r="I3" s="64" t="s">
        <v>164</v>
      </c>
      <c r="J3" s="64"/>
      <c r="K3" s="64" t="s">
        <v>165</v>
      </c>
      <c r="L3" s="64"/>
      <c r="M3" s="64" t="s">
        <v>122</v>
      </c>
    </row>
    <row r="4" spans="1:20" ht="23.1" customHeight="1" x14ac:dyDescent="0.3">
      <c r="A4" s="64"/>
      <c r="B4" s="64"/>
      <c r="C4" s="64"/>
      <c r="D4" s="64"/>
      <c r="E4" s="12" t="s">
        <v>123</v>
      </c>
      <c r="F4" s="12" t="s">
        <v>124</v>
      </c>
      <c r="G4" s="12" t="s">
        <v>123</v>
      </c>
      <c r="H4" s="12" t="s">
        <v>124</v>
      </c>
      <c r="I4" s="12" t="s">
        <v>123</v>
      </c>
      <c r="J4" s="12" t="s">
        <v>124</v>
      </c>
      <c r="K4" s="12" t="s">
        <v>123</v>
      </c>
      <c r="L4" s="12" t="s">
        <v>124</v>
      </c>
      <c r="M4" s="64"/>
      <c r="N4" t="s">
        <v>125</v>
      </c>
      <c r="O4" t="s">
        <v>126</v>
      </c>
      <c r="P4" t="s">
        <v>127</v>
      </c>
      <c r="Q4" t="s">
        <v>128</v>
      </c>
      <c r="R4" t="s">
        <v>129</v>
      </c>
      <c r="S4" t="s">
        <v>130</v>
      </c>
      <c r="T4" t="s">
        <v>15</v>
      </c>
    </row>
    <row r="5" spans="1:20" ht="23.1" customHeight="1" x14ac:dyDescent="0.3">
      <c r="A5" s="72" t="s">
        <v>166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4"/>
      <c r="M5" s="13" t="s">
        <v>167</v>
      </c>
    </row>
    <row r="6" spans="1:20" ht="23.1" customHeight="1" x14ac:dyDescent="0.3">
      <c r="A6" s="14" t="s">
        <v>93</v>
      </c>
      <c r="B6" s="14" t="s">
        <v>91</v>
      </c>
      <c r="C6" s="16" t="s">
        <v>92</v>
      </c>
      <c r="D6" s="17">
        <v>5.5E-2</v>
      </c>
      <c r="E6" s="17">
        <v>0</v>
      </c>
      <c r="F6" s="17">
        <f>ROUNDDOWN(D6*E6, 1)</f>
        <v>0</v>
      </c>
      <c r="G6" s="17">
        <f>ROUNDDOWN(단가대비표!O30, 2)</f>
        <v>208140</v>
      </c>
      <c r="H6" s="17">
        <f>ROUNDDOWN(D6*G6, 1)</f>
        <v>11447.7</v>
      </c>
      <c r="I6" s="17">
        <v>0</v>
      </c>
      <c r="J6" s="17">
        <f>ROUNDDOWN(D6*I6, 1)</f>
        <v>0</v>
      </c>
      <c r="K6" s="17">
        <f t="shared" ref="K6:L8" si="0">E6+G6+I6</f>
        <v>208140</v>
      </c>
      <c r="L6" s="17">
        <f t="shared" si="0"/>
        <v>11447.7</v>
      </c>
      <c r="M6" s="14" t="s">
        <v>94</v>
      </c>
      <c r="O6" s="11" t="s">
        <v>147</v>
      </c>
      <c r="P6" s="11" t="s">
        <v>137</v>
      </c>
      <c r="Q6">
        <v>1</v>
      </c>
    </row>
    <row r="7" spans="1:20" ht="23.1" customHeight="1" x14ac:dyDescent="0.3">
      <c r="A7" s="14" t="s">
        <v>96</v>
      </c>
      <c r="B7" s="14" t="s">
        <v>91</v>
      </c>
      <c r="C7" s="16" t="s">
        <v>92</v>
      </c>
      <c r="D7" s="17">
        <v>3.5999999999999997E-2</v>
      </c>
      <c r="E7" s="17">
        <v>0</v>
      </c>
      <c r="F7" s="17">
        <f>ROUNDDOWN(D7*E7, 1)</f>
        <v>0</v>
      </c>
      <c r="G7" s="17">
        <f>ROUNDDOWN(단가대비표!O32, 2)</f>
        <v>172698</v>
      </c>
      <c r="H7" s="17">
        <f>ROUNDDOWN(D7*G7, 1)</f>
        <v>6217.1</v>
      </c>
      <c r="I7" s="17">
        <v>0</v>
      </c>
      <c r="J7" s="17">
        <f>ROUNDDOWN(D7*I7, 1)</f>
        <v>0</v>
      </c>
      <c r="K7" s="17">
        <f t="shared" si="0"/>
        <v>172698</v>
      </c>
      <c r="L7" s="17">
        <f t="shared" si="0"/>
        <v>6217.1</v>
      </c>
      <c r="M7" s="15"/>
      <c r="O7" s="11" t="s">
        <v>147</v>
      </c>
      <c r="P7" s="11" t="s">
        <v>137</v>
      </c>
      <c r="Q7">
        <v>1</v>
      </c>
    </row>
    <row r="8" spans="1:20" ht="23.1" customHeight="1" x14ac:dyDescent="0.3">
      <c r="A8" s="14" t="s">
        <v>168</v>
      </c>
      <c r="B8" s="15" t="str">
        <f>"인력품의 " &amp; N8*100 &amp; "%"</f>
        <v>인력품의 2%</v>
      </c>
      <c r="C8" s="16" t="s">
        <v>141</v>
      </c>
      <c r="D8" s="17">
        <v>1</v>
      </c>
      <c r="E8" s="17">
        <v>0</v>
      </c>
      <c r="F8" s="17">
        <v>0</v>
      </c>
      <c r="G8" s="17">
        <v>0</v>
      </c>
      <c r="H8" s="17">
        <v>0</v>
      </c>
      <c r="I8" s="17">
        <f>SUMIF(O6:O8, "02", H6:H8)</f>
        <v>17664.800000000003</v>
      </c>
      <c r="J8" s="17">
        <f>ROUNDDOWN((I8)*N8, 1)</f>
        <v>353.2</v>
      </c>
      <c r="K8" s="17">
        <f t="shared" si="0"/>
        <v>17664.800000000003</v>
      </c>
      <c r="L8" s="17">
        <f t="shared" si="0"/>
        <v>353.2</v>
      </c>
      <c r="M8" s="15"/>
      <c r="N8">
        <v>0.02</v>
      </c>
      <c r="P8" s="11" t="s">
        <v>137</v>
      </c>
      <c r="Q8">
        <v>1</v>
      </c>
      <c r="R8" s="11" t="s">
        <v>169</v>
      </c>
      <c r="S8" s="11" t="s">
        <v>170</v>
      </c>
      <c r="T8" s="11" t="s">
        <v>171</v>
      </c>
    </row>
    <row r="9" spans="1:20" ht="23.1" customHeight="1" x14ac:dyDescent="0.3">
      <c r="A9" s="18" t="s">
        <v>148</v>
      </c>
      <c r="B9" s="19"/>
      <c r="C9" s="20"/>
      <c r="D9" s="21"/>
      <c r="E9" s="21"/>
      <c r="F9" s="21">
        <f>ROUNDDOWN(SUMIF(Q6:Q8, "1", F6:F8), 0)</f>
        <v>0</v>
      </c>
      <c r="G9" s="21"/>
      <c r="H9" s="21">
        <f>ROUNDDOWN(SUMIF(Q6:Q8, "1", H6:H8), 0)</f>
        <v>17664</v>
      </c>
      <c r="I9" s="21"/>
      <c r="J9" s="21">
        <f>ROUNDDOWN(SUMIF(Q6:Q8, "1", J6:J8), 0)</f>
        <v>353</v>
      </c>
      <c r="K9" s="21"/>
      <c r="L9" s="21">
        <f>F9+H9+J9</f>
        <v>18017</v>
      </c>
      <c r="M9" s="19"/>
    </row>
    <row r="10" spans="1:20" ht="23.1" customHeight="1" x14ac:dyDescent="0.3">
      <c r="A10" s="15"/>
      <c r="B10" s="15"/>
      <c r="C10" s="22"/>
      <c r="D10" s="17"/>
      <c r="E10" s="17"/>
      <c r="F10" s="17"/>
      <c r="G10" s="17"/>
      <c r="H10" s="17"/>
      <c r="I10" s="17"/>
      <c r="J10" s="17"/>
      <c r="K10" s="17"/>
      <c r="L10" s="17"/>
      <c r="M10" s="15"/>
    </row>
    <row r="11" spans="1:20" ht="23.1" customHeight="1" x14ac:dyDescent="0.3">
      <c r="A11" s="70" t="s">
        <v>172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13" t="s">
        <v>167</v>
      </c>
    </row>
    <row r="12" spans="1:20" ht="23.1" customHeight="1" x14ac:dyDescent="0.3">
      <c r="A12" s="14" t="s">
        <v>93</v>
      </c>
      <c r="B12" s="14" t="s">
        <v>91</v>
      </c>
      <c r="C12" s="16" t="s">
        <v>92</v>
      </c>
      <c r="D12" s="17">
        <v>4.4999999999999998E-2</v>
      </c>
      <c r="E12" s="17">
        <v>0</v>
      </c>
      <c r="F12" s="17">
        <f>ROUNDDOWN(D12*E12, 1)</f>
        <v>0</v>
      </c>
      <c r="G12" s="17">
        <f>ROUNDDOWN(단가대비표!O30, 2)</f>
        <v>208140</v>
      </c>
      <c r="H12" s="17">
        <f>ROUNDDOWN(D12*G12, 1)</f>
        <v>9366.2999999999993</v>
      </c>
      <c r="I12" s="17">
        <v>0</v>
      </c>
      <c r="J12" s="17">
        <f>ROUNDDOWN(D12*I12, 1)</f>
        <v>0</v>
      </c>
      <c r="K12" s="17">
        <f t="shared" ref="K12:L14" si="1">E12+G12+I12</f>
        <v>208140</v>
      </c>
      <c r="L12" s="17">
        <f t="shared" si="1"/>
        <v>9366.2999999999993</v>
      </c>
      <c r="M12" s="14" t="s">
        <v>94</v>
      </c>
      <c r="O12" s="11" t="s">
        <v>147</v>
      </c>
      <c r="P12" s="11" t="s">
        <v>137</v>
      </c>
      <c r="Q12">
        <v>1</v>
      </c>
    </row>
    <row r="13" spans="1:20" ht="23.1" customHeight="1" x14ac:dyDescent="0.3">
      <c r="A13" s="14" t="s">
        <v>96</v>
      </c>
      <c r="B13" s="14" t="s">
        <v>91</v>
      </c>
      <c r="C13" s="16" t="s">
        <v>92</v>
      </c>
      <c r="D13" s="17">
        <v>0.03</v>
      </c>
      <c r="E13" s="17">
        <v>0</v>
      </c>
      <c r="F13" s="17">
        <f>ROUNDDOWN(D13*E13, 1)</f>
        <v>0</v>
      </c>
      <c r="G13" s="17">
        <f>ROUNDDOWN(단가대비표!O32, 2)</f>
        <v>172698</v>
      </c>
      <c r="H13" s="17">
        <f>ROUNDDOWN(D13*G13, 1)</f>
        <v>5180.8999999999996</v>
      </c>
      <c r="I13" s="17">
        <v>0</v>
      </c>
      <c r="J13" s="17">
        <f>ROUNDDOWN(D13*I13, 1)</f>
        <v>0</v>
      </c>
      <c r="K13" s="17">
        <f t="shared" si="1"/>
        <v>172698</v>
      </c>
      <c r="L13" s="17">
        <f t="shared" si="1"/>
        <v>5180.8999999999996</v>
      </c>
      <c r="M13" s="15"/>
      <c r="O13" s="11" t="s">
        <v>147</v>
      </c>
      <c r="P13" s="11" t="s">
        <v>137</v>
      </c>
      <c r="Q13">
        <v>1</v>
      </c>
    </row>
    <row r="14" spans="1:20" ht="23.1" customHeight="1" x14ac:dyDescent="0.3">
      <c r="A14" s="14" t="s">
        <v>168</v>
      </c>
      <c r="B14" s="15" t="str">
        <f>"인력품의 " &amp; N14*100 &amp; "%"</f>
        <v>인력품의 2%</v>
      </c>
      <c r="C14" s="16" t="s">
        <v>141</v>
      </c>
      <c r="D14" s="17">
        <v>1</v>
      </c>
      <c r="E14" s="17">
        <v>0</v>
      </c>
      <c r="F14" s="17">
        <v>0</v>
      </c>
      <c r="G14" s="17">
        <v>0</v>
      </c>
      <c r="H14" s="17">
        <v>0</v>
      </c>
      <c r="I14" s="17">
        <f>SUMIF(O12:O14, "02", H12:H14)</f>
        <v>14547.199999999999</v>
      </c>
      <c r="J14" s="17">
        <f>ROUNDDOWN((I14)*N14, 1)</f>
        <v>290.89999999999998</v>
      </c>
      <c r="K14" s="17">
        <f t="shared" si="1"/>
        <v>14547.199999999999</v>
      </c>
      <c r="L14" s="17">
        <f t="shared" si="1"/>
        <v>290.89999999999998</v>
      </c>
      <c r="M14" s="15"/>
      <c r="N14">
        <v>0.02</v>
      </c>
      <c r="P14" s="11" t="s">
        <v>137</v>
      </c>
      <c r="Q14">
        <v>1</v>
      </c>
      <c r="R14" s="11" t="s">
        <v>169</v>
      </c>
      <c r="S14" s="11" t="s">
        <v>170</v>
      </c>
      <c r="T14" s="11" t="s">
        <v>171</v>
      </c>
    </row>
    <row r="15" spans="1:20" ht="23.1" customHeight="1" x14ac:dyDescent="0.3">
      <c r="A15" s="18" t="s">
        <v>148</v>
      </c>
      <c r="B15" s="19"/>
      <c r="C15" s="20"/>
      <c r="D15" s="21"/>
      <c r="E15" s="21"/>
      <c r="F15" s="21">
        <f>ROUNDDOWN(SUMIF(Q12:Q14, "1", F12:F14), 0)</f>
        <v>0</v>
      </c>
      <c r="G15" s="21"/>
      <c r="H15" s="21">
        <f>ROUNDDOWN(SUMIF(Q12:Q14, "1", H12:H14), 0)</f>
        <v>14547</v>
      </c>
      <c r="I15" s="21"/>
      <c r="J15" s="21">
        <f>ROUNDDOWN(SUMIF(Q12:Q14, "1", J12:J14), 0)</f>
        <v>290</v>
      </c>
      <c r="K15" s="21"/>
      <c r="L15" s="21">
        <f>F15+H15+J15</f>
        <v>14837</v>
      </c>
      <c r="M15" s="19"/>
    </row>
    <row r="16" spans="1:20" ht="23.1" customHeight="1" x14ac:dyDescent="0.3">
      <c r="A16" s="15"/>
      <c r="B16" s="15"/>
      <c r="C16" s="22"/>
      <c r="D16" s="17"/>
      <c r="E16" s="17"/>
      <c r="F16" s="17"/>
      <c r="G16" s="17"/>
      <c r="H16" s="17"/>
      <c r="I16" s="17"/>
      <c r="J16" s="17"/>
      <c r="K16" s="17"/>
      <c r="L16" s="17"/>
      <c r="M16" s="15"/>
    </row>
    <row r="17" spans="1:20" ht="23.1" customHeight="1" x14ac:dyDescent="0.3">
      <c r="A17" s="70" t="s">
        <v>173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13" t="s">
        <v>167</v>
      </c>
    </row>
    <row r="18" spans="1:20" ht="23.1" customHeight="1" x14ac:dyDescent="0.3">
      <c r="A18" s="14" t="s">
        <v>93</v>
      </c>
      <c r="B18" s="14" t="s">
        <v>91</v>
      </c>
      <c r="C18" s="16" t="s">
        <v>92</v>
      </c>
      <c r="D18" s="17">
        <v>5.5E-2</v>
      </c>
      <c r="E18" s="17">
        <v>0</v>
      </c>
      <c r="F18" s="17">
        <f>ROUNDDOWN(D18*E18, 1)</f>
        <v>0</v>
      </c>
      <c r="G18" s="17">
        <f>ROUNDDOWN(단가대비표!O30, 2)</f>
        <v>208140</v>
      </c>
      <c r="H18" s="17">
        <f>ROUNDDOWN(D18*G18, 1)</f>
        <v>11447.7</v>
      </c>
      <c r="I18" s="17">
        <v>0</v>
      </c>
      <c r="J18" s="17">
        <f>ROUNDDOWN(D18*I18, 1)</f>
        <v>0</v>
      </c>
      <c r="K18" s="17">
        <f t="shared" ref="K18:L20" si="2">E18+G18+I18</f>
        <v>208140</v>
      </c>
      <c r="L18" s="17">
        <f t="shared" si="2"/>
        <v>11447.7</v>
      </c>
      <c r="M18" s="14" t="s">
        <v>94</v>
      </c>
      <c r="O18" s="11" t="s">
        <v>147</v>
      </c>
      <c r="P18" s="11" t="s">
        <v>137</v>
      </c>
      <c r="Q18">
        <v>1</v>
      </c>
    </row>
    <row r="19" spans="1:20" ht="23.1" customHeight="1" x14ac:dyDescent="0.3">
      <c r="A19" s="14" t="s">
        <v>96</v>
      </c>
      <c r="B19" s="14" t="s">
        <v>91</v>
      </c>
      <c r="C19" s="16" t="s">
        <v>92</v>
      </c>
      <c r="D19" s="17">
        <v>3.5999999999999997E-2</v>
      </c>
      <c r="E19" s="17">
        <v>0</v>
      </c>
      <c r="F19" s="17">
        <f>ROUNDDOWN(D19*E19, 1)</f>
        <v>0</v>
      </c>
      <c r="G19" s="17">
        <f>ROUNDDOWN(단가대비표!O32, 2)</f>
        <v>172698</v>
      </c>
      <c r="H19" s="17">
        <f>ROUNDDOWN(D19*G19, 1)</f>
        <v>6217.1</v>
      </c>
      <c r="I19" s="17">
        <v>0</v>
      </c>
      <c r="J19" s="17">
        <f>ROUNDDOWN(D19*I19, 1)</f>
        <v>0</v>
      </c>
      <c r="K19" s="17">
        <f t="shared" si="2"/>
        <v>172698</v>
      </c>
      <c r="L19" s="17">
        <f t="shared" si="2"/>
        <v>6217.1</v>
      </c>
      <c r="M19" s="15"/>
      <c r="O19" s="11" t="s">
        <v>147</v>
      </c>
      <c r="P19" s="11" t="s">
        <v>137</v>
      </c>
      <c r="Q19">
        <v>1</v>
      </c>
    </row>
    <row r="20" spans="1:20" ht="23.1" customHeight="1" x14ac:dyDescent="0.3">
      <c r="A20" s="14" t="s">
        <v>168</v>
      </c>
      <c r="B20" s="15" t="str">
        <f>"인력품의 " &amp; N20*100 &amp; "%"</f>
        <v>인력품의 2%</v>
      </c>
      <c r="C20" s="16" t="s">
        <v>141</v>
      </c>
      <c r="D20" s="17">
        <v>1</v>
      </c>
      <c r="E20" s="17">
        <v>0</v>
      </c>
      <c r="F20" s="17">
        <v>0</v>
      </c>
      <c r="G20" s="17">
        <v>0</v>
      </c>
      <c r="H20" s="17">
        <v>0</v>
      </c>
      <c r="I20" s="17">
        <f>SUMIF(O18:O20, "02", H18:H20)</f>
        <v>17664.800000000003</v>
      </c>
      <c r="J20" s="17">
        <f>ROUNDDOWN((I20)*N20, 1)</f>
        <v>353.2</v>
      </c>
      <c r="K20" s="17">
        <f t="shared" si="2"/>
        <v>17664.800000000003</v>
      </c>
      <c r="L20" s="17">
        <f t="shared" si="2"/>
        <v>353.2</v>
      </c>
      <c r="M20" s="15"/>
      <c r="N20">
        <v>0.02</v>
      </c>
      <c r="P20" s="11" t="s">
        <v>137</v>
      </c>
      <c r="Q20">
        <v>1</v>
      </c>
      <c r="R20" s="11" t="s">
        <v>169</v>
      </c>
      <c r="S20" s="11" t="s">
        <v>170</v>
      </c>
      <c r="T20" s="11" t="s">
        <v>171</v>
      </c>
    </row>
    <row r="21" spans="1:20" ht="23.1" customHeight="1" x14ac:dyDescent="0.3">
      <c r="A21" s="18" t="s">
        <v>148</v>
      </c>
      <c r="B21" s="19"/>
      <c r="C21" s="20"/>
      <c r="D21" s="21"/>
      <c r="E21" s="21"/>
      <c r="F21" s="21">
        <f>ROUNDDOWN(SUMIF(Q18:Q20, "1", F18:F20), 0)</f>
        <v>0</v>
      </c>
      <c r="G21" s="21"/>
      <c r="H21" s="21">
        <f>ROUNDDOWN(SUMIF(Q18:Q20, "1", H18:H20), 0)</f>
        <v>17664</v>
      </c>
      <c r="I21" s="21"/>
      <c r="J21" s="21">
        <f>ROUNDDOWN(SUMIF(Q18:Q20, "1", J18:J20), 0)</f>
        <v>353</v>
      </c>
      <c r="K21" s="21"/>
      <c r="L21" s="21">
        <f>F21+H21+J21</f>
        <v>18017</v>
      </c>
      <c r="M21" s="19"/>
    </row>
    <row r="22" spans="1:20" ht="23.1" customHeight="1" x14ac:dyDescent="0.3">
      <c r="A22" s="15"/>
      <c r="B22" s="15"/>
      <c r="C22" s="22"/>
      <c r="D22" s="17"/>
      <c r="E22" s="17"/>
      <c r="F22" s="17"/>
      <c r="G22" s="17"/>
      <c r="H22" s="17"/>
      <c r="I22" s="17"/>
      <c r="J22" s="17"/>
      <c r="K22" s="17"/>
      <c r="L22" s="17"/>
      <c r="M22" s="15"/>
    </row>
    <row r="23" spans="1:20" ht="23.1" customHeight="1" x14ac:dyDescent="0.3">
      <c r="A23" s="70" t="s">
        <v>174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23"/>
    </row>
    <row r="24" spans="1:20" ht="23.1" customHeight="1" x14ac:dyDescent="0.3">
      <c r="A24" s="14" t="s">
        <v>84</v>
      </c>
      <c r="B24" s="14" t="s">
        <v>85</v>
      </c>
      <c r="C24" s="16" t="s">
        <v>32</v>
      </c>
      <c r="D24" s="17">
        <v>1</v>
      </c>
      <c r="E24" s="17">
        <f>ROUNDDOWN(단가대비표!O28, 2)</f>
        <v>4720</v>
      </c>
      <c r="F24" s="17">
        <f>ROUNDDOWN(D24*E24, 1)</f>
        <v>4720</v>
      </c>
      <c r="G24" s="17">
        <v>0</v>
      </c>
      <c r="H24" s="17">
        <f>ROUNDDOWN(D24*G24, 1)</f>
        <v>0</v>
      </c>
      <c r="I24" s="17">
        <v>0</v>
      </c>
      <c r="J24" s="17">
        <f>ROUNDDOWN(D24*I24, 1)</f>
        <v>0</v>
      </c>
      <c r="K24" s="17">
        <f t="shared" ref="K24:L26" si="3">E24+G24+I24</f>
        <v>4720</v>
      </c>
      <c r="L24" s="17">
        <f t="shared" si="3"/>
        <v>4720</v>
      </c>
      <c r="M24" s="14" t="s">
        <v>89</v>
      </c>
      <c r="O24" s="11" t="s">
        <v>139</v>
      </c>
      <c r="P24" s="11" t="s">
        <v>137</v>
      </c>
      <c r="Q24">
        <v>1</v>
      </c>
    </row>
    <row r="25" spans="1:20" ht="23.1" customHeight="1" x14ac:dyDescent="0.3">
      <c r="A25" s="14" t="s">
        <v>30</v>
      </c>
      <c r="B25" s="14" t="s">
        <v>31</v>
      </c>
      <c r="C25" s="16" t="s">
        <v>32</v>
      </c>
      <c r="D25" s="17">
        <v>2</v>
      </c>
      <c r="E25" s="17">
        <f>ROUNDDOWN(단가대비표!O10, 2)</f>
        <v>25.2</v>
      </c>
      <c r="F25" s="17">
        <f>ROUNDDOWN(D25*E25, 1)</f>
        <v>50.4</v>
      </c>
      <c r="G25" s="17">
        <v>0</v>
      </c>
      <c r="H25" s="17">
        <f>ROUNDDOWN(D25*G25, 1)</f>
        <v>0</v>
      </c>
      <c r="I25" s="17">
        <v>0</v>
      </c>
      <c r="J25" s="17">
        <f>ROUNDDOWN(D25*I25, 1)</f>
        <v>0</v>
      </c>
      <c r="K25" s="17">
        <f t="shared" si="3"/>
        <v>25.2</v>
      </c>
      <c r="L25" s="17">
        <f t="shared" si="3"/>
        <v>50.4</v>
      </c>
      <c r="M25" s="14" t="s">
        <v>36</v>
      </c>
      <c r="O25" s="11" t="s">
        <v>139</v>
      </c>
      <c r="P25" s="11" t="s">
        <v>137</v>
      </c>
      <c r="Q25">
        <v>1</v>
      </c>
    </row>
    <row r="26" spans="1:20" ht="23.1" customHeight="1" x14ac:dyDescent="0.3">
      <c r="A26" s="14" t="s">
        <v>68</v>
      </c>
      <c r="B26" s="14" t="s">
        <v>69</v>
      </c>
      <c r="C26" s="16" t="s">
        <v>32</v>
      </c>
      <c r="D26" s="17">
        <v>2</v>
      </c>
      <c r="E26" s="17">
        <f>ROUNDDOWN(단가대비표!O20, 2)</f>
        <v>13.5</v>
      </c>
      <c r="F26" s="17">
        <f>ROUNDDOWN(D26*E26, 1)</f>
        <v>27</v>
      </c>
      <c r="G26" s="17">
        <v>0</v>
      </c>
      <c r="H26" s="17">
        <f>ROUNDDOWN(D26*G26, 1)</f>
        <v>0</v>
      </c>
      <c r="I26" s="17">
        <v>0</v>
      </c>
      <c r="J26" s="17">
        <f>ROUNDDOWN(D26*I26, 1)</f>
        <v>0</v>
      </c>
      <c r="K26" s="17">
        <f t="shared" si="3"/>
        <v>13.5</v>
      </c>
      <c r="L26" s="17">
        <f t="shared" si="3"/>
        <v>27</v>
      </c>
      <c r="M26" s="14" t="s">
        <v>73</v>
      </c>
      <c r="O26" s="11" t="s">
        <v>139</v>
      </c>
      <c r="P26" s="11" t="s">
        <v>137</v>
      </c>
      <c r="Q26">
        <v>1</v>
      </c>
    </row>
    <row r="27" spans="1:20" ht="23.1" customHeight="1" x14ac:dyDescent="0.3">
      <c r="A27" s="18" t="s">
        <v>148</v>
      </c>
      <c r="B27" s="19"/>
      <c r="C27" s="20"/>
      <c r="D27" s="21"/>
      <c r="E27" s="21"/>
      <c r="F27" s="21">
        <f>ROUNDDOWN(SUMIF(Q24:Q26, "1", F24:F26), 0)</f>
        <v>4797</v>
      </c>
      <c r="G27" s="21"/>
      <c r="H27" s="21">
        <f>ROUNDDOWN(SUMIF(Q24:Q26, "1", H24:H26), 0)</f>
        <v>0</v>
      </c>
      <c r="I27" s="21"/>
      <c r="J27" s="21">
        <f>ROUNDDOWN(SUMIF(Q24:Q26, "1", J24:J26), 0)</f>
        <v>0</v>
      </c>
      <c r="K27" s="21"/>
      <c r="L27" s="21">
        <f>F27+H27+J27</f>
        <v>4797</v>
      </c>
      <c r="M27" s="19"/>
    </row>
    <row r="28" spans="1:20" ht="23.1" customHeight="1" x14ac:dyDescent="0.3">
      <c r="A28" s="15"/>
      <c r="B28" s="15"/>
      <c r="C28" s="22"/>
      <c r="D28" s="17"/>
      <c r="E28" s="17"/>
      <c r="F28" s="17"/>
      <c r="G28" s="17"/>
      <c r="H28" s="17"/>
      <c r="I28" s="17"/>
      <c r="J28" s="17"/>
      <c r="K28" s="17"/>
      <c r="L28" s="17"/>
      <c r="M28" s="15"/>
    </row>
    <row r="29" spans="1:20" ht="23.1" customHeight="1" x14ac:dyDescent="0.3">
      <c r="A29" s="70" t="s">
        <v>175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13" t="s">
        <v>176</v>
      </c>
    </row>
    <row r="30" spans="1:20" ht="23.1" customHeight="1" x14ac:dyDescent="0.3">
      <c r="A30" s="14" t="s">
        <v>98</v>
      </c>
      <c r="B30" s="14" t="s">
        <v>99</v>
      </c>
      <c r="C30" s="16" t="s">
        <v>92</v>
      </c>
      <c r="D30" s="17">
        <v>2.5000000000000001E-2</v>
      </c>
      <c r="E30" s="17">
        <v>0</v>
      </c>
      <c r="F30" s="17">
        <f>ROUNDDOWN(D30*E30, 1)</f>
        <v>0</v>
      </c>
      <c r="G30" s="17">
        <f>ROUNDDOWN(단가대비표!O34, 2)</f>
        <v>212439</v>
      </c>
      <c r="H30" s="17">
        <f>ROUNDDOWN(D30*G30, 1)</f>
        <v>5310.9</v>
      </c>
      <c r="I30" s="17">
        <v>0</v>
      </c>
      <c r="J30" s="17">
        <f>ROUNDDOWN(D30*I30, 1)</f>
        <v>0</v>
      </c>
      <c r="K30" s="17">
        <f>E30+G30+I30</f>
        <v>212439</v>
      </c>
      <c r="L30" s="17">
        <f>F30+H30+J30</f>
        <v>5310.9</v>
      </c>
      <c r="M30" s="15"/>
      <c r="O30" s="11" t="s">
        <v>147</v>
      </c>
      <c r="P30" s="11" t="s">
        <v>137</v>
      </c>
      <c r="Q30">
        <v>1</v>
      </c>
    </row>
    <row r="31" spans="1:20" ht="23.1" customHeight="1" x14ac:dyDescent="0.3">
      <c r="A31" s="18" t="s">
        <v>148</v>
      </c>
      <c r="B31" s="19"/>
      <c r="C31" s="20"/>
      <c r="D31" s="21"/>
      <c r="E31" s="21"/>
      <c r="F31" s="21">
        <f>ROUNDDOWN(SUMIF(Q30:Q30, "1", F30:F30), 0)</f>
        <v>0</v>
      </c>
      <c r="G31" s="21"/>
      <c r="H31" s="21">
        <f>ROUNDDOWN(SUMIF(Q30:Q30, "1", H30:H30), 0)</f>
        <v>5310</v>
      </c>
      <c r="I31" s="21"/>
      <c r="J31" s="21">
        <f>ROUNDDOWN(SUMIF(Q30:Q30, "1", J30:J30), 0)</f>
        <v>0</v>
      </c>
      <c r="K31" s="21"/>
      <c r="L31" s="21">
        <f>F31+H31+J31</f>
        <v>5310</v>
      </c>
      <c r="M31" s="19"/>
    </row>
    <row r="32" spans="1:20" ht="23.1" customHeight="1" x14ac:dyDescent="0.3">
      <c r="A32" s="15"/>
      <c r="B32" s="15"/>
      <c r="C32" s="22"/>
      <c r="D32" s="17"/>
      <c r="E32" s="17"/>
      <c r="F32" s="17"/>
      <c r="G32" s="17"/>
      <c r="H32" s="17"/>
      <c r="I32" s="17"/>
      <c r="J32" s="17"/>
      <c r="K32" s="17"/>
      <c r="L32" s="17"/>
      <c r="M32" s="15"/>
    </row>
    <row r="33" spans="1:20" ht="23.1" customHeight="1" x14ac:dyDescent="0.3">
      <c r="A33" s="70" t="s">
        <v>177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13" t="s">
        <v>178</v>
      </c>
    </row>
    <row r="34" spans="1:20" ht="23.1" customHeight="1" x14ac:dyDescent="0.3">
      <c r="A34" s="14" t="s">
        <v>57</v>
      </c>
      <c r="B34" s="14" t="s">
        <v>64</v>
      </c>
      <c r="C34" s="16" t="s">
        <v>59</v>
      </c>
      <c r="D34" s="17">
        <v>1.1000000000000001</v>
      </c>
      <c r="E34" s="17">
        <f>ROUNDDOWN(단가대비표!O19, 2)</f>
        <v>32000</v>
      </c>
      <c r="F34" s="17">
        <f>ROUNDDOWN(D34*E34, 1)</f>
        <v>35200</v>
      </c>
      <c r="G34" s="17">
        <v>0</v>
      </c>
      <c r="H34" s="17">
        <f>ROUNDDOWN(D34*G34, 1)</f>
        <v>0</v>
      </c>
      <c r="I34" s="17">
        <v>0</v>
      </c>
      <c r="J34" s="17">
        <f>ROUNDDOWN(D34*I34, 1)</f>
        <v>0</v>
      </c>
      <c r="K34" s="17">
        <f t="shared" ref="K34:L36" si="4">E34+G34+I34</f>
        <v>32000</v>
      </c>
      <c r="L34" s="17">
        <f t="shared" si="4"/>
        <v>35200</v>
      </c>
      <c r="M34" s="14" t="s">
        <v>67</v>
      </c>
      <c r="O34" s="11" t="s">
        <v>139</v>
      </c>
      <c r="P34" s="11" t="s">
        <v>137</v>
      </c>
      <c r="Q34">
        <v>1</v>
      </c>
    </row>
    <row r="35" spans="1:20" ht="23.1" customHeight="1" x14ac:dyDescent="0.3">
      <c r="A35" s="14" t="s">
        <v>52</v>
      </c>
      <c r="B35" s="14" t="s">
        <v>53</v>
      </c>
      <c r="C35" s="16" t="s">
        <v>54</v>
      </c>
      <c r="D35" s="17">
        <v>0.3</v>
      </c>
      <c r="E35" s="17">
        <f>ROUNDDOWN(단가대비표!O17, 2)</f>
        <v>2400</v>
      </c>
      <c r="F35" s="17">
        <f>ROUNDDOWN(D35*E35, 1)</f>
        <v>720</v>
      </c>
      <c r="G35" s="17">
        <v>0</v>
      </c>
      <c r="H35" s="17">
        <f>ROUNDDOWN(D35*G35, 1)</f>
        <v>0</v>
      </c>
      <c r="I35" s="17">
        <v>0</v>
      </c>
      <c r="J35" s="17">
        <f>ROUNDDOWN(D35*I35, 1)</f>
        <v>0</v>
      </c>
      <c r="K35" s="17">
        <f t="shared" si="4"/>
        <v>2400</v>
      </c>
      <c r="L35" s="17">
        <f t="shared" si="4"/>
        <v>720</v>
      </c>
      <c r="M35" s="15"/>
      <c r="O35" s="11" t="s">
        <v>139</v>
      </c>
      <c r="P35" s="11" t="s">
        <v>137</v>
      </c>
      <c r="Q35">
        <v>1</v>
      </c>
    </row>
    <row r="36" spans="1:20" ht="23.1" customHeight="1" x14ac:dyDescent="0.3">
      <c r="A36" s="14" t="s">
        <v>179</v>
      </c>
      <c r="B36" s="14" t="s">
        <v>180</v>
      </c>
      <c r="C36" s="16" t="s">
        <v>59</v>
      </c>
      <c r="D36" s="17">
        <v>1</v>
      </c>
      <c r="E36" s="17">
        <f>ROUNDDOWN(일위대가목록!G11, 2)</f>
        <v>0</v>
      </c>
      <c r="F36" s="17">
        <f>ROUNDDOWN(D36*E36, 1)</f>
        <v>0</v>
      </c>
      <c r="G36" s="17">
        <f>ROUNDDOWN(일위대가목록!I11, 2)</f>
        <v>14422</v>
      </c>
      <c r="H36" s="17">
        <f>ROUNDDOWN(D36*G36, 1)</f>
        <v>14422</v>
      </c>
      <c r="I36" s="17">
        <f>ROUNDDOWN(일위대가목록!K11, 2)</f>
        <v>0</v>
      </c>
      <c r="J36" s="17">
        <f>ROUNDDOWN(D36*I36, 1)</f>
        <v>0</v>
      </c>
      <c r="K36" s="17">
        <f t="shared" si="4"/>
        <v>14422</v>
      </c>
      <c r="L36" s="17">
        <f t="shared" si="4"/>
        <v>14422</v>
      </c>
      <c r="M36" s="14" t="s">
        <v>181</v>
      </c>
      <c r="P36" s="11" t="s">
        <v>137</v>
      </c>
      <c r="Q36">
        <v>1</v>
      </c>
      <c r="T36" s="11" t="s">
        <v>182</v>
      </c>
    </row>
    <row r="37" spans="1:20" ht="23.1" customHeight="1" x14ac:dyDescent="0.3">
      <c r="A37" s="18" t="s">
        <v>148</v>
      </c>
      <c r="B37" s="19"/>
      <c r="C37" s="20"/>
      <c r="D37" s="21"/>
      <c r="E37" s="21"/>
      <c r="F37" s="21">
        <f>ROUNDDOWN(SUMIF(Q34:Q36, "1", F34:F36), 0)</f>
        <v>35920</v>
      </c>
      <c r="G37" s="21"/>
      <c r="H37" s="21">
        <f>ROUNDDOWN(SUMIF(Q34:Q36, "1", H34:H36), 0)</f>
        <v>14422</v>
      </c>
      <c r="I37" s="21"/>
      <c r="J37" s="21">
        <f>ROUNDDOWN(SUMIF(Q34:Q36, "1", J34:J36), 0)</f>
        <v>0</v>
      </c>
      <c r="K37" s="21"/>
      <c r="L37" s="21">
        <f>F37+H37+J37</f>
        <v>50342</v>
      </c>
      <c r="M37" s="19"/>
    </row>
    <row r="38" spans="1:20" ht="23.1" customHeight="1" x14ac:dyDescent="0.3">
      <c r="A38" s="15"/>
      <c r="B38" s="15"/>
      <c r="C38" s="22"/>
      <c r="D38" s="17"/>
      <c r="E38" s="17"/>
      <c r="F38" s="17"/>
      <c r="G38" s="17"/>
      <c r="H38" s="17"/>
      <c r="I38" s="17"/>
      <c r="J38" s="17"/>
      <c r="K38" s="17"/>
      <c r="L38" s="17"/>
      <c r="M38" s="15"/>
    </row>
    <row r="39" spans="1:20" ht="23.1" customHeight="1" x14ac:dyDescent="0.3">
      <c r="A39" s="70" t="s">
        <v>183</v>
      </c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13" t="s">
        <v>178</v>
      </c>
    </row>
    <row r="40" spans="1:20" ht="23.1" customHeight="1" x14ac:dyDescent="0.3">
      <c r="A40" s="14" t="s">
        <v>90</v>
      </c>
      <c r="B40" s="14" t="s">
        <v>91</v>
      </c>
      <c r="C40" s="16" t="s">
        <v>92</v>
      </c>
      <c r="D40" s="17">
        <v>5.7000000000000002E-2</v>
      </c>
      <c r="E40" s="17">
        <v>0</v>
      </c>
      <c r="F40" s="17">
        <f>ROUNDDOWN(D40*E40, 1)</f>
        <v>0</v>
      </c>
      <c r="G40" s="17">
        <f>ROUNDDOWN(단가대비표!O29, 2)</f>
        <v>222738</v>
      </c>
      <c r="H40" s="17">
        <f>ROUNDDOWN(D40*G40, 1)</f>
        <v>12696</v>
      </c>
      <c r="I40" s="17">
        <v>0</v>
      </c>
      <c r="J40" s="17">
        <f>ROUNDDOWN(D40*I40, 1)</f>
        <v>0</v>
      </c>
      <c r="K40" s="17">
        <f>E40+G40+I40</f>
        <v>222738</v>
      </c>
      <c r="L40" s="17">
        <f>F40+H40+J40</f>
        <v>12696</v>
      </c>
      <c r="M40" s="15"/>
      <c r="O40" s="11" t="s">
        <v>147</v>
      </c>
      <c r="P40" s="11" t="s">
        <v>137</v>
      </c>
      <c r="Q40">
        <v>1</v>
      </c>
    </row>
    <row r="41" spans="1:20" ht="23.1" customHeight="1" x14ac:dyDescent="0.3">
      <c r="A41" s="14" t="s">
        <v>96</v>
      </c>
      <c r="B41" s="14" t="s">
        <v>91</v>
      </c>
      <c r="C41" s="16" t="s">
        <v>92</v>
      </c>
      <c r="D41" s="17">
        <v>0.01</v>
      </c>
      <c r="E41" s="17">
        <v>0</v>
      </c>
      <c r="F41" s="17">
        <f>ROUNDDOWN(D41*E41, 1)</f>
        <v>0</v>
      </c>
      <c r="G41" s="17">
        <f>ROUNDDOWN(단가대비표!O32, 2)</f>
        <v>172698</v>
      </c>
      <c r="H41" s="17">
        <f>ROUNDDOWN(D41*G41, 1)</f>
        <v>1726.9</v>
      </c>
      <c r="I41" s="17">
        <v>0</v>
      </c>
      <c r="J41" s="17">
        <f>ROUNDDOWN(D41*I41, 1)</f>
        <v>0</v>
      </c>
      <c r="K41" s="17">
        <f>E41+G41+I41</f>
        <v>172698</v>
      </c>
      <c r="L41" s="17">
        <f>F41+H41+J41</f>
        <v>1726.9</v>
      </c>
      <c r="M41" s="15"/>
      <c r="O41" s="11" t="s">
        <v>147</v>
      </c>
      <c r="P41" s="11" t="s">
        <v>137</v>
      </c>
      <c r="Q41">
        <v>1</v>
      </c>
    </row>
    <row r="42" spans="1:20" ht="23.1" customHeight="1" x14ac:dyDescent="0.3">
      <c r="A42" s="18" t="s">
        <v>148</v>
      </c>
      <c r="B42" s="19"/>
      <c r="C42" s="20"/>
      <c r="D42" s="21"/>
      <c r="E42" s="21"/>
      <c r="F42" s="21">
        <f>ROUNDDOWN(SUMIF(Q40:Q41, "1", F40:F41), 0)</f>
        <v>0</v>
      </c>
      <c r="G42" s="21"/>
      <c r="H42" s="21">
        <f>ROUNDDOWN(SUMIF(Q40:Q41, "1", H40:H41), 0)</f>
        <v>14422</v>
      </c>
      <c r="I42" s="21"/>
      <c r="J42" s="21">
        <f>ROUNDDOWN(SUMIF(Q40:Q41, "1", J40:J41), 0)</f>
        <v>0</v>
      </c>
      <c r="K42" s="21"/>
      <c r="L42" s="21">
        <f>F42+H42+J42</f>
        <v>14422</v>
      </c>
      <c r="M42" s="19"/>
    </row>
    <row r="43" spans="1:20" ht="23.1" customHeight="1" x14ac:dyDescent="0.3">
      <c r="A43" s="15"/>
      <c r="B43" s="15"/>
      <c r="C43" s="22"/>
      <c r="D43" s="17"/>
      <c r="E43" s="17"/>
      <c r="F43" s="17"/>
      <c r="G43" s="17"/>
      <c r="H43" s="17"/>
      <c r="I43" s="17"/>
      <c r="J43" s="17"/>
      <c r="K43" s="17"/>
      <c r="L43" s="17"/>
      <c r="M43" s="15"/>
    </row>
    <row r="44" spans="1:20" ht="23.1" customHeight="1" x14ac:dyDescent="0.3">
      <c r="A44" s="70" t="s">
        <v>184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13" t="s">
        <v>185</v>
      </c>
    </row>
    <row r="45" spans="1:20" ht="23.1" customHeight="1" x14ac:dyDescent="0.3">
      <c r="A45" s="14" t="s">
        <v>97</v>
      </c>
      <c r="B45" s="14" t="s">
        <v>91</v>
      </c>
      <c r="C45" s="16" t="s">
        <v>92</v>
      </c>
      <c r="D45" s="17">
        <v>0.77200000000000002</v>
      </c>
      <c r="E45" s="17">
        <v>0</v>
      </c>
      <c r="F45" s="17">
        <f>ROUNDDOWN(D45*E45, 1)</f>
        <v>0</v>
      </c>
      <c r="G45" s="17">
        <f>ROUNDDOWN(단가대비표!O33, 2)</f>
        <v>223246</v>
      </c>
      <c r="H45" s="17">
        <f>ROUNDDOWN(D45*G45, 1)</f>
        <v>172345.9</v>
      </c>
      <c r="I45" s="17">
        <v>0</v>
      </c>
      <c r="J45" s="17">
        <f>ROUNDDOWN(D45*I45, 1)</f>
        <v>0</v>
      </c>
      <c r="K45" s="17">
        <f t="shared" ref="K45:L47" si="5">E45+G45+I45</f>
        <v>223246</v>
      </c>
      <c r="L45" s="17">
        <f t="shared" si="5"/>
        <v>172345.9</v>
      </c>
      <c r="M45" s="15"/>
      <c r="O45" s="11" t="s">
        <v>147</v>
      </c>
      <c r="P45" s="11" t="s">
        <v>137</v>
      </c>
      <c r="Q45">
        <v>1</v>
      </c>
    </row>
    <row r="46" spans="1:20" ht="23.1" customHeight="1" x14ac:dyDescent="0.3">
      <c r="A46" s="14" t="s">
        <v>96</v>
      </c>
      <c r="B46" s="14" t="s">
        <v>91</v>
      </c>
      <c r="C46" s="16" t="s">
        <v>92</v>
      </c>
      <c r="D46" s="17">
        <v>0.77200000000000002</v>
      </c>
      <c r="E46" s="17">
        <v>0</v>
      </c>
      <c r="F46" s="17">
        <f>ROUNDDOWN(D46*E46, 1)</f>
        <v>0</v>
      </c>
      <c r="G46" s="17">
        <f>ROUNDDOWN(단가대비표!O32, 2)</f>
        <v>172698</v>
      </c>
      <c r="H46" s="17">
        <f>ROUNDDOWN(D46*G46, 1)</f>
        <v>133322.79999999999</v>
      </c>
      <c r="I46" s="17">
        <v>0</v>
      </c>
      <c r="J46" s="17">
        <f>ROUNDDOWN(D46*I46, 1)</f>
        <v>0</v>
      </c>
      <c r="K46" s="17">
        <f t="shared" si="5"/>
        <v>172698</v>
      </c>
      <c r="L46" s="17">
        <f t="shared" si="5"/>
        <v>133322.79999999999</v>
      </c>
      <c r="M46" s="15"/>
      <c r="O46" s="11" t="s">
        <v>147</v>
      </c>
      <c r="P46" s="11" t="s">
        <v>137</v>
      </c>
      <c r="Q46">
        <v>1</v>
      </c>
    </row>
    <row r="47" spans="1:20" ht="23.1" customHeight="1" x14ac:dyDescent="0.3">
      <c r="A47" s="14" t="s">
        <v>186</v>
      </c>
      <c r="B47" s="15" t="str">
        <f>"인력품의 " &amp; N47*100 &amp; "%"</f>
        <v>인력품의 2%</v>
      </c>
      <c r="C47" s="16" t="s">
        <v>141</v>
      </c>
      <c r="D47" s="17">
        <v>1</v>
      </c>
      <c r="E47" s="17">
        <f>SUMIF(O45:O47, "02", H45:H47)</f>
        <v>305668.69999999995</v>
      </c>
      <c r="F47" s="17">
        <f>ROUNDDOWN((E47)*N47, 1)</f>
        <v>6113.3</v>
      </c>
      <c r="G47" s="17">
        <v>0</v>
      </c>
      <c r="H47" s="17">
        <v>0</v>
      </c>
      <c r="I47" s="17">
        <v>0</v>
      </c>
      <c r="J47" s="17">
        <v>0</v>
      </c>
      <c r="K47" s="17">
        <f t="shared" si="5"/>
        <v>305668.69999999995</v>
      </c>
      <c r="L47" s="17">
        <f t="shared" si="5"/>
        <v>6113.3</v>
      </c>
      <c r="M47" s="15"/>
      <c r="N47">
        <v>0.02</v>
      </c>
      <c r="P47" s="11" t="s">
        <v>137</v>
      </c>
      <c r="Q47">
        <v>1</v>
      </c>
      <c r="R47" s="11" t="s">
        <v>187</v>
      </c>
      <c r="S47" s="11" t="s">
        <v>170</v>
      </c>
      <c r="T47" s="11" t="s">
        <v>145</v>
      </c>
    </row>
    <row r="48" spans="1:20" ht="23.1" customHeight="1" x14ac:dyDescent="0.3">
      <c r="A48" s="18" t="s">
        <v>148</v>
      </c>
      <c r="B48" s="19"/>
      <c r="C48" s="20"/>
      <c r="D48" s="21"/>
      <c r="E48" s="21"/>
      <c r="F48" s="21">
        <f>ROUNDDOWN(SUMIF(Q45:Q47, "1", F45:F47), 0)</f>
        <v>6113</v>
      </c>
      <c r="G48" s="21"/>
      <c r="H48" s="21">
        <f>ROUNDDOWN(SUMIF(Q45:Q47, "1", H45:H47), 0)</f>
        <v>305668</v>
      </c>
      <c r="I48" s="21"/>
      <c r="J48" s="21">
        <f>ROUNDDOWN(SUMIF(Q45:Q47, "1", J45:J47), 0)</f>
        <v>0</v>
      </c>
      <c r="K48" s="21"/>
      <c r="L48" s="21">
        <f>F48+H48+J48</f>
        <v>311781</v>
      </c>
      <c r="M48" s="19"/>
    </row>
    <row r="49" spans="1:20" ht="23.1" customHeight="1" x14ac:dyDescent="0.3">
      <c r="A49" s="15"/>
      <c r="B49" s="15"/>
      <c r="C49" s="22"/>
      <c r="D49" s="17"/>
      <c r="E49" s="17"/>
      <c r="F49" s="17"/>
      <c r="G49" s="17"/>
      <c r="H49" s="17"/>
      <c r="I49" s="17"/>
      <c r="J49" s="17"/>
      <c r="K49" s="17"/>
      <c r="L49" s="17"/>
      <c r="M49" s="15"/>
    </row>
    <row r="50" spans="1:20" ht="23.1" customHeight="1" x14ac:dyDescent="0.3">
      <c r="A50" s="70" t="s">
        <v>188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13" t="s">
        <v>185</v>
      </c>
    </row>
    <row r="51" spans="1:20" ht="23.1" customHeight="1" x14ac:dyDescent="0.3">
      <c r="A51" s="14" t="s">
        <v>97</v>
      </c>
      <c r="B51" s="14" t="s">
        <v>91</v>
      </c>
      <c r="C51" s="16" t="s">
        <v>92</v>
      </c>
      <c r="D51" s="17">
        <v>0.67100000000000004</v>
      </c>
      <c r="E51" s="17">
        <v>0</v>
      </c>
      <c r="F51" s="17">
        <f>ROUNDDOWN(D51*E51, 1)</f>
        <v>0</v>
      </c>
      <c r="G51" s="17">
        <f>ROUNDDOWN(단가대비표!O33, 2)</f>
        <v>223246</v>
      </c>
      <c r="H51" s="17">
        <f>ROUNDDOWN(D51*G51, 1)</f>
        <v>149798</v>
      </c>
      <c r="I51" s="17">
        <v>0</v>
      </c>
      <c r="J51" s="17">
        <f>ROUNDDOWN(D51*I51, 1)</f>
        <v>0</v>
      </c>
      <c r="K51" s="17">
        <f t="shared" ref="K51:L53" si="6">E51+G51+I51</f>
        <v>223246</v>
      </c>
      <c r="L51" s="17">
        <f t="shared" si="6"/>
        <v>149798</v>
      </c>
      <c r="M51" s="15"/>
      <c r="O51" s="11" t="s">
        <v>147</v>
      </c>
      <c r="P51" s="11" t="s">
        <v>137</v>
      </c>
      <c r="Q51">
        <v>1</v>
      </c>
    </row>
    <row r="52" spans="1:20" ht="23.1" customHeight="1" x14ac:dyDescent="0.3">
      <c r="A52" s="14" t="s">
        <v>96</v>
      </c>
      <c r="B52" s="14" t="s">
        <v>91</v>
      </c>
      <c r="C52" s="16" t="s">
        <v>92</v>
      </c>
      <c r="D52" s="17">
        <v>0.67100000000000004</v>
      </c>
      <c r="E52" s="17">
        <v>0</v>
      </c>
      <c r="F52" s="17">
        <f>ROUNDDOWN(D52*E52, 1)</f>
        <v>0</v>
      </c>
      <c r="G52" s="17">
        <f>ROUNDDOWN(단가대비표!O32, 2)</f>
        <v>172698</v>
      </c>
      <c r="H52" s="17">
        <f>ROUNDDOWN(D52*G52, 1)</f>
        <v>115880.3</v>
      </c>
      <c r="I52" s="17">
        <v>0</v>
      </c>
      <c r="J52" s="17">
        <f>ROUNDDOWN(D52*I52, 1)</f>
        <v>0</v>
      </c>
      <c r="K52" s="17">
        <f t="shared" si="6"/>
        <v>172698</v>
      </c>
      <c r="L52" s="17">
        <f t="shared" si="6"/>
        <v>115880.3</v>
      </c>
      <c r="M52" s="15"/>
      <c r="O52" s="11" t="s">
        <v>147</v>
      </c>
      <c r="P52" s="11" t="s">
        <v>137</v>
      </c>
      <c r="Q52">
        <v>1</v>
      </c>
    </row>
    <row r="53" spans="1:20" ht="23.1" customHeight="1" x14ac:dyDescent="0.3">
      <c r="A53" s="14" t="s">
        <v>186</v>
      </c>
      <c r="B53" s="15" t="str">
        <f>"인력품의 " &amp; N53*100 &amp; "%"</f>
        <v>인력품의 2%</v>
      </c>
      <c r="C53" s="16" t="s">
        <v>141</v>
      </c>
      <c r="D53" s="17">
        <v>1</v>
      </c>
      <c r="E53" s="17">
        <f>SUMIF(O51:O53, "02", H51:H53)</f>
        <v>265678.3</v>
      </c>
      <c r="F53" s="17">
        <f>ROUNDDOWN((E53)*N53, 1)</f>
        <v>5313.5</v>
      </c>
      <c r="G53" s="17">
        <v>0</v>
      </c>
      <c r="H53" s="17">
        <v>0</v>
      </c>
      <c r="I53" s="17">
        <v>0</v>
      </c>
      <c r="J53" s="17">
        <v>0</v>
      </c>
      <c r="K53" s="17">
        <f t="shared" si="6"/>
        <v>265678.3</v>
      </c>
      <c r="L53" s="17">
        <f t="shared" si="6"/>
        <v>5313.5</v>
      </c>
      <c r="M53" s="15"/>
      <c r="N53">
        <v>0.02</v>
      </c>
      <c r="P53" s="11" t="s">
        <v>137</v>
      </c>
      <c r="Q53">
        <v>1</v>
      </c>
      <c r="R53" s="11" t="s">
        <v>187</v>
      </c>
      <c r="S53" s="11" t="s">
        <v>170</v>
      </c>
      <c r="T53" s="11" t="s">
        <v>145</v>
      </c>
    </row>
    <row r="54" spans="1:20" ht="23.1" customHeight="1" x14ac:dyDescent="0.3">
      <c r="A54" s="18" t="s">
        <v>148</v>
      </c>
      <c r="B54" s="19"/>
      <c r="C54" s="20"/>
      <c r="D54" s="21"/>
      <c r="E54" s="21"/>
      <c r="F54" s="21">
        <f>ROUNDDOWN(SUMIF(Q51:Q53, "1", F51:F53), 0)</f>
        <v>5313</v>
      </c>
      <c r="G54" s="21"/>
      <c r="H54" s="21">
        <f>ROUNDDOWN(SUMIF(Q51:Q53, "1", H51:H53), 0)</f>
        <v>265678</v>
      </c>
      <c r="I54" s="21"/>
      <c r="J54" s="21">
        <f>ROUNDDOWN(SUMIF(Q51:Q53, "1", J51:J53), 0)</f>
        <v>0</v>
      </c>
      <c r="K54" s="21"/>
      <c r="L54" s="21">
        <f>F54+H54+J54</f>
        <v>270991</v>
      </c>
      <c r="M54" s="19"/>
    </row>
    <row r="55" spans="1:20" ht="23.1" customHeight="1" x14ac:dyDescent="0.3">
      <c r="A55" s="15"/>
      <c r="B55" s="15"/>
      <c r="C55" s="22"/>
      <c r="D55" s="17"/>
      <c r="E55" s="17"/>
      <c r="F55" s="17"/>
      <c r="G55" s="17"/>
      <c r="H55" s="17"/>
      <c r="I55" s="17"/>
      <c r="J55" s="17"/>
      <c r="K55" s="17"/>
      <c r="L55" s="17"/>
      <c r="M55" s="15"/>
    </row>
    <row r="56" spans="1:20" ht="23.1" customHeight="1" x14ac:dyDescent="0.3">
      <c r="A56" s="70" t="s">
        <v>189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13" t="s">
        <v>185</v>
      </c>
    </row>
    <row r="57" spans="1:20" ht="23.1" customHeight="1" x14ac:dyDescent="0.3">
      <c r="A57" s="14" t="s">
        <v>97</v>
      </c>
      <c r="B57" s="14" t="s">
        <v>91</v>
      </c>
      <c r="C57" s="16" t="s">
        <v>92</v>
      </c>
      <c r="D57" s="17">
        <v>0.56999999999999995</v>
      </c>
      <c r="E57" s="17">
        <v>0</v>
      </c>
      <c r="F57" s="17">
        <f>ROUNDDOWN(D57*E57, 1)</f>
        <v>0</v>
      </c>
      <c r="G57" s="17">
        <f>ROUNDDOWN(단가대비표!O33, 2)</f>
        <v>223246</v>
      </c>
      <c r="H57" s="17">
        <f>ROUNDDOWN(D57*G57, 1)</f>
        <v>127250.2</v>
      </c>
      <c r="I57" s="17">
        <v>0</v>
      </c>
      <c r="J57" s="17">
        <f>ROUNDDOWN(D57*I57, 1)</f>
        <v>0</v>
      </c>
      <c r="K57" s="17">
        <f t="shared" ref="K57:L59" si="7">E57+G57+I57</f>
        <v>223246</v>
      </c>
      <c r="L57" s="17">
        <f t="shared" si="7"/>
        <v>127250.2</v>
      </c>
      <c r="M57" s="15"/>
      <c r="O57" s="11" t="s">
        <v>147</v>
      </c>
      <c r="P57" s="11" t="s">
        <v>137</v>
      </c>
      <c r="Q57">
        <v>1</v>
      </c>
    </row>
    <row r="58" spans="1:20" ht="23.1" customHeight="1" x14ac:dyDescent="0.3">
      <c r="A58" s="14" t="s">
        <v>96</v>
      </c>
      <c r="B58" s="14" t="s">
        <v>91</v>
      </c>
      <c r="C58" s="16" t="s">
        <v>92</v>
      </c>
      <c r="D58" s="17">
        <v>0.56999999999999995</v>
      </c>
      <c r="E58" s="17">
        <v>0</v>
      </c>
      <c r="F58" s="17">
        <f>ROUNDDOWN(D58*E58, 1)</f>
        <v>0</v>
      </c>
      <c r="G58" s="17">
        <f>ROUNDDOWN(단가대비표!O32, 2)</f>
        <v>172698</v>
      </c>
      <c r="H58" s="17">
        <f>ROUNDDOWN(D58*G58, 1)</f>
        <v>98437.8</v>
      </c>
      <c r="I58" s="17">
        <v>0</v>
      </c>
      <c r="J58" s="17">
        <f>ROUNDDOWN(D58*I58, 1)</f>
        <v>0</v>
      </c>
      <c r="K58" s="17">
        <f t="shared" si="7"/>
        <v>172698</v>
      </c>
      <c r="L58" s="17">
        <f t="shared" si="7"/>
        <v>98437.8</v>
      </c>
      <c r="M58" s="15"/>
      <c r="O58" s="11" t="s">
        <v>147</v>
      </c>
      <c r="P58" s="11" t="s">
        <v>137</v>
      </c>
      <c r="Q58">
        <v>1</v>
      </c>
    </row>
    <row r="59" spans="1:20" ht="23.1" customHeight="1" x14ac:dyDescent="0.3">
      <c r="A59" s="14" t="s">
        <v>186</v>
      </c>
      <c r="B59" s="15" t="str">
        <f>"인력품의 " &amp; N59*100 &amp; "%"</f>
        <v>인력품의 2%</v>
      </c>
      <c r="C59" s="16" t="s">
        <v>141</v>
      </c>
      <c r="D59" s="17">
        <v>1</v>
      </c>
      <c r="E59" s="17">
        <f>SUMIF(O57:O59, "02", H57:H59)</f>
        <v>225688</v>
      </c>
      <c r="F59" s="17">
        <f>ROUNDDOWN((E59)*N59, 1)</f>
        <v>4513.7</v>
      </c>
      <c r="G59" s="17">
        <v>0</v>
      </c>
      <c r="H59" s="17">
        <v>0</v>
      </c>
      <c r="I59" s="17">
        <v>0</v>
      </c>
      <c r="J59" s="17">
        <v>0</v>
      </c>
      <c r="K59" s="17">
        <f t="shared" si="7"/>
        <v>225688</v>
      </c>
      <c r="L59" s="17">
        <f t="shared" si="7"/>
        <v>4513.7</v>
      </c>
      <c r="M59" s="15"/>
      <c r="N59">
        <v>0.02</v>
      </c>
      <c r="P59" s="11" t="s">
        <v>137</v>
      </c>
      <c r="Q59">
        <v>1</v>
      </c>
      <c r="R59" s="11" t="s">
        <v>187</v>
      </c>
      <c r="S59" s="11" t="s">
        <v>170</v>
      </c>
      <c r="T59" s="11" t="s">
        <v>145</v>
      </c>
    </row>
    <row r="60" spans="1:20" ht="23.1" customHeight="1" x14ac:dyDescent="0.3">
      <c r="A60" s="18" t="s">
        <v>148</v>
      </c>
      <c r="B60" s="19"/>
      <c r="C60" s="20"/>
      <c r="D60" s="21"/>
      <c r="E60" s="21"/>
      <c r="F60" s="21">
        <f>ROUNDDOWN(SUMIF(Q57:Q59, "1", F57:F59), 0)</f>
        <v>4513</v>
      </c>
      <c r="G60" s="21"/>
      <c r="H60" s="21">
        <f>ROUNDDOWN(SUMIF(Q57:Q59, "1", H57:H59), 0)</f>
        <v>225688</v>
      </c>
      <c r="I60" s="21"/>
      <c r="J60" s="21">
        <f>ROUNDDOWN(SUMIF(Q57:Q59, "1", J57:J59), 0)</f>
        <v>0</v>
      </c>
      <c r="K60" s="21"/>
      <c r="L60" s="21">
        <f>F60+H60+J60</f>
        <v>230201</v>
      </c>
      <c r="M60" s="19"/>
    </row>
    <row r="61" spans="1:20" ht="23.1" customHeight="1" x14ac:dyDescent="0.3">
      <c r="A61" s="15"/>
      <c r="B61" s="15"/>
      <c r="C61" s="22"/>
      <c r="D61" s="17"/>
      <c r="E61" s="17"/>
      <c r="F61" s="17"/>
      <c r="G61" s="17"/>
      <c r="H61" s="17"/>
      <c r="I61" s="17"/>
      <c r="J61" s="17"/>
      <c r="K61" s="17"/>
      <c r="L61" s="17"/>
      <c r="M61" s="15"/>
    </row>
    <row r="62" spans="1:20" ht="23.1" customHeight="1" x14ac:dyDescent="0.3">
      <c r="A62" s="70" t="s">
        <v>190</v>
      </c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13" t="s">
        <v>113</v>
      </c>
    </row>
    <row r="63" spans="1:20" ht="23.1" customHeight="1" x14ac:dyDescent="0.3">
      <c r="A63" s="14" t="s">
        <v>106</v>
      </c>
      <c r="B63" s="14" t="s">
        <v>107</v>
      </c>
      <c r="C63" s="16" t="s">
        <v>108</v>
      </c>
      <c r="D63" s="17">
        <v>1</v>
      </c>
      <c r="E63" s="17">
        <v>0</v>
      </c>
      <c r="F63" s="17">
        <f>ROUNDDOWN(D63*E63, 1)</f>
        <v>0</v>
      </c>
      <c r="G63" s="17">
        <v>0</v>
      </c>
      <c r="H63" s="17">
        <f>ROUNDDOWN(D63*G63, 1)</f>
        <v>0</v>
      </c>
      <c r="I63" s="17">
        <f>ROUNDDOWN(단가대비표!O37, 2)</f>
        <v>192887</v>
      </c>
      <c r="J63" s="17">
        <f>ROUNDDOWN(D63*I63, 1)</f>
        <v>192887</v>
      </c>
      <c r="K63" s="17">
        <f>E63+G63+I63</f>
        <v>192887</v>
      </c>
      <c r="L63" s="17">
        <f>F63+H63+J63</f>
        <v>192887</v>
      </c>
      <c r="M63" s="14" t="s">
        <v>113</v>
      </c>
      <c r="O63" s="11" t="s">
        <v>136</v>
      </c>
      <c r="P63" s="11" t="s">
        <v>137</v>
      </c>
      <c r="Q63">
        <v>1</v>
      </c>
    </row>
    <row r="64" spans="1:20" ht="23.1" customHeight="1" x14ac:dyDescent="0.3">
      <c r="A64" s="18" t="s">
        <v>148</v>
      </c>
      <c r="B64" s="19"/>
      <c r="C64" s="20"/>
      <c r="D64" s="21"/>
      <c r="E64" s="21"/>
      <c r="F64" s="21">
        <f>ROUNDDOWN(SUMIF(Q63:Q63, "1", F63:F63), 0)</f>
        <v>0</v>
      </c>
      <c r="G64" s="21"/>
      <c r="H64" s="21">
        <f>ROUNDDOWN(SUMIF(Q63:Q63, "1", H63:H63), 0)</f>
        <v>0</v>
      </c>
      <c r="I64" s="21"/>
      <c r="J64" s="21">
        <f>ROUNDDOWN(SUMIF(Q63:Q63, "1", J63:J63), 0)</f>
        <v>192887</v>
      </c>
      <c r="K64" s="21"/>
      <c r="L64" s="21">
        <f>F64+H64+J64</f>
        <v>192887</v>
      </c>
      <c r="M64" s="19"/>
    </row>
    <row r="65" spans="1:13" ht="23.1" customHeight="1" x14ac:dyDescent="0.3">
      <c r="A65" s="15"/>
      <c r="B65" s="15"/>
      <c r="C65" s="22"/>
      <c r="D65" s="17"/>
      <c r="E65" s="17"/>
      <c r="F65" s="17"/>
      <c r="G65" s="17"/>
      <c r="H65" s="17"/>
      <c r="I65" s="17"/>
      <c r="J65" s="17"/>
      <c r="K65" s="17"/>
      <c r="L65" s="17"/>
      <c r="M65" s="15"/>
    </row>
    <row r="66" spans="1:13" ht="23.1" customHeight="1" x14ac:dyDescent="0.3">
      <c r="A66" s="15"/>
      <c r="B66" s="15"/>
      <c r="C66" s="22"/>
      <c r="D66" s="17"/>
      <c r="E66" s="17"/>
      <c r="F66" s="17"/>
      <c r="G66" s="17"/>
      <c r="H66" s="17"/>
      <c r="I66" s="17"/>
      <c r="J66" s="17"/>
      <c r="K66" s="17"/>
      <c r="L66" s="17"/>
      <c r="M66" s="15"/>
    </row>
    <row r="67" spans="1:13" ht="23.1" customHeight="1" x14ac:dyDescent="0.3">
      <c r="A67" s="15"/>
      <c r="B67" s="15"/>
      <c r="C67" s="22"/>
      <c r="D67" s="17"/>
      <c r="E67" s="17"/>
      <c r="F67" s="17"/>
      <c r="G67" s="17"/>
      <c r="H67" s="17"/>
      <c r="I67" s="17"/>
      <c r="J67" s="17"/>
      <c r="K67" s="17"/>
      <c r="L67" s="17"/>
      <c r="M67" s="15"/>
    </row>
    <row r="68" spans="1:13" ht="23.1" customHeight="1" x14ac:dyDescent="0.3">
      <c r="A68" s="15"/>
      <c r="B68" s="15"/>
      <c r="C68" s="22"/>
      <c r="D68" s="17"/>
      <c r="E68" s="17"/>
      <c r="F68" s="17"/>
      <c r="G68" s="17"/>
      <c r="H68" s="17"/>
      <c r="I68" s="17"/>
      <c r="J68" s="17"/>
      <c r="K68" s="17"/>
      <c r="L68" s="17"/>
      <c r="M68" s="15"/>
    </row>
  </sheetData>
  <mergeCells count="22"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  <mergeCell ref="A62:L62"/>
    <mergeCell ref="K3:L3"/>
    <mergeCell ref="A5:L5"/>
    <mergeCell ref="A11:L11"/>
    <mergeCell ref="A17:L17"/>
    <mergeCell ref="A23:L23"/>
    <mergeCell ref="A29:L29"/>
    <mergeCell ref="A33:L33"/>
    <mergeCell ref="A39:L39"/>
    <mergeCell ref="A44:L44"/>
    <mergeCell ref="A50:L50"/>
    <mergeCell ref="A56:L56"/>
  </mergeCells>
  <phoneticPr fontId="1" type="noConversion"/>
  <conditionalFormatting sqref="A6:M68 A5 M5">
    <cfRule type="containsText" dxfId="7" priority="1" stopIfTrue="1" operator="containsText" text=".">
      <formula>NOT(ISERROR(SEARCH(".",A5)))</formula>
    </cfRule>
    <cfRule type="notContainsText" dxfId="6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4" manualBreakCount="4">
    <brk id="20" max="16383" man="1"/>
    <brk id="36" max="16383" man="1"/>
    <brk id="52" max="16383" man="1"/>
    <brk id="6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DAFB7-5DF6-4230-8DA6-2E60EA5724AC}">
  <sheetPr>
    <tabColor rgb="FFF19D86"/>
  </sheetPr>
  <dimension ref="A1:O20"/>
  <sheetViews>
    <sheetView workbookViewId="0">
      <pane xSplit="4" ySplit="4" topLeftCell="E5" activePane="bottomRight" state="frozen"/>
      <selection activeCell="A3" sqref="A3:A4"/>
      <selection pane="topRight" activeCell="A3" sqref="A3:A4"/>
      <selection pane="bottomLeft" activeCell="A3" sqref="A3:A4"/>
      <selection pane="bottomRight" activeCell="A3" sqref="A3:A4"/>
    </sheetView>
  </sheetViews>
  <sheetFormatPr defaultRowHeight="16.5" x14ac:dyDescent="0.3"/>
  <cols>
    <col min="1" max="1" width="6.625" style="2" customWidth="1"/>
    <col min="2" max="3" width="20.625" style="1" customWidth="1"/>
    <col min="4" max="4" width="4.625" style="2" customWidth="1"/>
    <col min="5" max="5" width="6.625" style="2" customWidth="1"/>
    <col min="6" max="6" width="6.625" style="3" customWidth="1"/>
    <col min="7" max="7" width="7.625" style="3" customWidth="1"/>
    <col min="8" max="8" width="6.625" style="3" customWidth="1"/>
    <col min="9" max="9" width="7.625" style="3" customWidth="1"/>
    <col min="10" max="10" width="6.625" style="3" customWidth="1"/>
    <col min="11" max="11" width="7.625" style="3" customWidth="1"/>
    <col min="12" max="12" width="6.625" style="3" customWidth="1"/>
    <col min="13" max="13" width="7.625" style="3" customWidth="1"/>
    <col min="14" max="14" width="6.625" style="1" customWidth="1"/>
    <col min="15" max="18" width="0" hidden="1" customWidth="1"/>
  </cols>
  <sheetData>
    <row r="1" spans="1:15" ht="30" customHeight="1" x14ac:dyDescent="0.3">
      <c r="A1" s="55" t="s">
        <v>149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15" ht="23.1" customHeight="1" x14ac:dyDescent="0.3">
      <c r="A2" s="56" t="s">
        <v>339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5" ht="23.1" customHeight="1" x14ac:dyDescent="0.3">
      <c r="A3" s="64" t="s">
        <v>150</v>
      </c>
      <c r="B3" s="64" t="s">
        <v>1</v>
      </c>
      <c r="C3" s="64" t="s">
        <v>2</v>
      </c>
      <c r="D3" s="64" t="s">
        <v>3</v>
      </c>
      <c r="E3" s="64" t="s">
        <v>151</v>
      </c>
      <c r="F3" s="64" t="s">
        <v>152</v>
      </c>
      <c r="G3" s="64"/>
      <c r="H3" s="64" t="s">
        <v>153</v>
      </c>
      <c r="I3" s="64"/>
      <c r="J3" s="64" t="s">
        <v>154</v>
      </c>
      <c r="K3" s="64"/>
      <c r="L3" s="64" t="s">
        <v>155</v>
      </c>
      <c r="M3" s="64"/>
      <c r="N3" s="64" t="s">
        <v>122</v>
      </c>
    </row>
    <row r="4" spans="1:15" ht="23.1" customHeight="1" x14ac:dyDescent="0.3">
      <c r="A4" s="64"/>
      <c r="B4" s="64"/>
      <c r="C4" s="64"/>
      <c r="D4" s="64"/>
      <c r="E4" s="64"/>
      <c r="F4" s="12" t="s">
        <v>123</v>
      </c>
      <c r="G4" s="12" t="s">
        <v>124</v>
      </c>
      <c r="H4" s="12" t="s">
        <v>123</v>
      </c>
      <c r="I4" s="12" t="s">
        <v>124</v>
      </c>
      <c r="J4" s="12" t="s">
        <v>123</v>
      </c>
      <c r="K4" s="12" t="s">
        <v>124</v>
      </c>
      <c r="L4" s="12" t="s">
        <v>123</v>
      </c>
      <c r="M4" s="12" t="s">
        <v>124</v>
      </c>
      <c r="N4" s="64"/>
      <c r="O4" t="s">
        <v>15</v>
      </c>
    </row>
    <row r="5" spans="1:15" ht="23.1" customHeight="1" x14ac:dyDescent="0.3">
      <c r="A5" s="16" t="s">
        <v>156</v>
      </c>
      <c r="B5" s="14" t="s">
        <v>102</v>
      </c>
      <c r="C5" s="14" t="s">
        <v>157</v>
      </c>
      <c r="D5" s="16" t="s">
        <v>158</v>
      </c>
      <c r="E5" s="22">
        <v>1</v>
      </c>
      <c r="F5" s="17">
        <f>중기경비!F15</f>
        <v>9730</v>
      </c>
      <c r="G5" s="17">
        <f>E5*F5</f>
        <v>9730</v>
      </c>
      <c r="H5" s="17">
        <f>중기경비!H15</f>
        <v>10418</v>
      </c>
      <c r="I5" s="17">
        <f>E5*H5</f>
        <v>10418</v>
      </c>
      <c r="J5" s="17">
        <f>중기경비!J15</f>
        <v>36594</v>
      </c>
      <c r="K5" s="17">
        <f>E5*J5</f>
        <v>36594</v>
      </c>
      <c r="L5" s="17">
        <f>F5+H5+J5</f>
        <v>56742</v>
      </c>
      <c r="M5" s="17">
        <f>G5+I5+K5</f>
        <v>56742</v>
      </c>
      <c r="N5" s="14" t="s">
        <v>132</v>
      </c>
    </row>
    <row r="6" spans="1:15" ht="23.1" customHeight="1" x14ac:dyDescent="0.3">
      <c r="A6" s="22"/>
      <c r="B6" s="15"/>
      <c r="C6" s="15"/>
      <c r="D6" s="22"/>
      <c r="E6" s="22"/>
      <c r="F6" s="17"/>
      <c r="G6" s="17"/>
      <c r="H6" s="17"/>
      <c r="I6" s="17"/>
      <c r="J6" s="17"/>
      <c r="K6" s="17"/>
      <c r="L6" s="17"/>
      <c r="M6" s="17"/>
      <c r="N6" s="15"/>
    </row>
    <row r="7" spans="1:15" ht="23.1" customHeight="1" x14ac:dyDescent="0.3">
      <c r="A7" s="22"/>
      <c r="B7" s="15"/>
      <c r="C7" s="15"/>
      <c r="D7" s="22"/>
      <c r="E7" s="22"/>
      <c r="F7" s="17"/>
      <c r="G7" s="17"/>
      <c r="H7" s="17"/>
      <c r="I7" s="17"/>
      <c r="J7" s="17"/>
      <c r="K7" s="17"/>
      <c r="L7" s="17"/>
      <c r="M7" s="17"/>
      <c r="N7" s="15"/>
    </row>
    <row r="8" spans="1:15" ht="23.1" customHeight="1" x14ac:dyDescent="0.3">
      <c r="A8" s="22"/>
      <c r="B8" s="15"/>
      <c r="C8" s="15"/>
      <c r="D8" s="22"/>
      <c r="E8" s="22"/>
      <c r="F8" s="17"/>
      <c r="G8" s="17"/>
      <c r="H8" s="17"/>
      <c r="I8" s="17"/>
      <c r="J8" s="17"/>
      <c r="K8" s="17"/>
      <c r="L8" s="17"/>
      <c r="M8" s="17"/>
      <c r="N8" s="15"/>
    </row>
    <row r="9" spans="1:15" ht="23.1" customHeight="1" x14ac:dyDescent="0.3">
      <c r="A9" s="22"/>
      <c r="B9" s="15"/>
      <c r="C9" s="15"/>
      <c r="D9" s="22"/>
      <c r="E9" s="22"/>
      <c r="F9" s="17"/>
      <c r="G9" s="17"/>
      <c r="H9" s="17"/>
      <c r="I9" s="17"/>
      <c r="J9" s="17"/>
      <c r="K9" s="17"/>
      <c r="L9" s="17"/>
      <c r="M9" s="17"/>
      <c r="N9" s="15"/>
    </row>
    <row r="10" spans="1:15" ht="23.1" customHeight="1" x14ac:dyDescent="0.3">
      <c r="A10" s="22"/>
      <c r="B10" s="15"/>
      <c r="C10" s="15"/>
      <c r="D10" s="22"/>
      <c r="E10" s="22"/>
      <c r="F10" s="17"/>
      <c r="G10" s="17"/>
      <c r="H10" s="17"/>
      <c r="I10" s="17"/>
      <c r="J10" s="17"/>
      <c r="K10" s="17"/>
      <c r="L10" s="17"/>
      <c r="M10" s="17"/>
      <c r="N10" s="15"/>
    </row>
    <row r="11" spans="1:15" ht="23.1" customHeight="1" x14ac:dyDescent="0.3">
      <c r="A11" s="22"/>
      <c r="B11" s="15"/>
      <c r="C11" s="15"/>
      <c r="D11" s="22"/>
      <c r="E11" s="22"/>
      <c r="F11" s="17"/>
      <c r="G11" s="17"/>
      <c r="H11" s="17"/>
      <c r="I11" s="17"/>
      <c r="J11" s="17"/>
      <c r="K11" s="17"/>
      <c r="L11" s="17"/>
      <c r="M11" s="17"/>
      <c r="N11" s="15"/>
    </row>
    <row r="12" spans="1:15" ht="23.1" customHeight="1" x14ac:dyDescent="0.3">
      <c r="A12" s="22"/>
      <c r="B12" s="15"/>
      <c r="C12" s="15"/>
      <c r="D12" s="22"/>
      <c r="E12" s="22"/>
      <c r="F12" s="17"/>
      <c r="G12" s="17"/>
      <c r="H12" s="17"/>
      <c r="I12" s="17"/>
      <c r="J12" s="17"/>
      <c r="K12" s="17"/>
      <c r="L12" s="17"/>
      <c r="M12" s="17"/>
      <c r="N12" s="15"/>
    </row>
    <row r="13" spans="1:15" ht="23.1" customHeight="1" x14ac:dyDescent="0.3">
      <c r="A13" s="22"/>
      <c r="B13" s="15"/>
      <c r="C13" s="15"/>
      <c r="D13" s="22"/>
      <c r="E13" s="22"/>
      <c r="F13" s="17"/>
      <c r="G13" s="17"/>
      <c r="H13" s="17"/>
      <c r="I13" s="17"/>
      <c r="J13" s="17"/>
      <c r="K13" s="17"/>
      <c r="L13" s="17"/>
      <c r="M13" s="17"/>
      <c r="N13" s="15"/>
    </row>
    <row r="14" spans="1:15" ht="23.1" customHeight="1" x14ac:dyDescent="0.3">
      <c r="A14" s="22"/>
      <c r="B14" s="15"/>
      <c r="C14" s="15"/>
      <c r="D14" s="22"/>
      <c r="E14" s="22"/>
      <c r="F14" s="17"/>
      <c r="G14" s="17"/>
      <c r="H14" s="17"/>
      <c r="I14" s="17"/>
      <c r="J14" s="17"/>
      <c r="K14" s="17"/>
      <c r="L14" s="17"/>
      <c r="M14" s="17"/>
      <c r="N14" s="15"/>
    </row>
    <row r="15" spans="1:15" ht="23.1" customHeight="1" x14ac:dyDescent="0.3">
      <c r="A15" s="22"/>
      <c r="B15" s="15"/>
      <c r="C15" s="15"/>
      <c r="D15" s="22"/>
      <c r="E15" s="22"/>
      <c r="F15" s="17"/>
      <c r="G15" s="17"/>
      <c r="H15" s="17"/>
      <c r="I15" s="17"/>
      <c r="J15" s="17"/>
      <c r="K15" s="17"/>
      <c r="L15" s="17"/>
      <c r="M15" s="17"/>
      <c r="N15" s="15"/>
    </row>
    <row r="16" spans="1:15" ht="23.1" customHeight="1" x14ac:dyDescent="0.3">
      <c r="A16" s="22"/>
      <c r="B16" s="15"/>
      <c r="C16" s="15"/>
      <c r="D16" s="22"/>
      <c r="E16" s="22"/>
      <c r="F16" s="17"/>
      <c r="G16" s="17"/>
      <c r="H16" s="17"/>
      <c r="I16" s="17"/>
      <c r="J16" s="17"/>
      <c r="K16" s="17"/>
      <c r="L16" s="17"/>
      <c r="M16" s="17"/>
      <c r="N16" s="15"/>
    </row>
    <row r="17" spans="1:14" ht="23.1" customHeight="1" x14ac:dyDescent="0.3">
      <c r="A17" s="22"/>
      <c r="B17" s="15"/>
      <c r="C17" s="15"/>
      <c r="D17" s="22"/>
      <c r="E17" s="22"/>
      <c r="F17" s="17"/>
      <c r="G17" s="17"/>
      <c r="H17" s="17"/>
      <c r="I17" s="17"/>
      <c r="J17" s="17"/>
      <c r="K17" s="17"/>
      <c r="L17" s="17"/>
      <c r="M17" s="17"/>
      <c r="N17" s="15"/>
    </row>
    <row r="18" spans="1:14" ht="23.1" customHeight="1" x14ac:dyDescent="0.3">
      <c r="A18" s="22"/>
      <c r="B18" s="15"/>
      <c r="C18" s="15"/>
      <c r="D18" s="22"/>
      <c r="E18" s="22"/>
      <c r="F18" s="17"/>
      <c r="G18" s="17"/>
      <c r="H18" s="17"/>
      <c r="I18" s="17"/>
      <c r="J18" s="17"/>
      <c r="K18" s="17"/>
      <c r="L18" s="17"/>
      <c r="M18" s="17"/>
      <c r="N18" s="15"/>
    </row>
    <row r="19" spans="1:14" ht="23.1" customHeight="1" x14ac:dyDescent="0.3">
      <c r="A19" s="22"/>
      <c r="B19" s="15"/>
      <c r="C19" s="15"/>
      <c r="D19" s="22"/>
      <c r="E19" s="22"/>
      <c r="F19" s="17"/>
      <c r="G19" s="17"/>
      <c r="H19" s="17"/>
      <c r="I19" s="17"/>
      <c r="J19" s="17"/>
      <c r="K19" s="17"/>
      <c r="L19" s="17"/>
      <c r="M19" s="17"/>
      <c r="N19" s="15"/>
    </row>
    <row r="20" spans="1:14" ht="23.1" customHeight="1" x14ac:dyDescent="0.3">
      <c r="A20" s="22"/>
      <c r="B20" s="15"/>
      <c r="C20" s="15"/>
      <c r="D20" s="22"/>
      <c r="E20" s="22"/>
      <c r="F20" s="17"/>
      <c r="G20" s="17"/>
      <c r="H20" s="17"/>
      <c r="I20" s="17"/>
      <c r="J20" s="17"/>
      <c r="K20" s="17"/>
      <c r="L20" s="17"/>
      <c r="M20" s="17"/>
      <c r="N20" s="15"/>
    </row>
  </sheetData>
  <mergeCells count="12">
    <mergeCell ref="J3:K3"/>
    <mergeCell ref="L3:M3"/>
    <mergeCell ref="A1:N1"/>
    <mergeCell ref="A2:N2"/>
    <mergeCell ref="A3:A4"/>
    <mergeCell ref="B3:B4"/>
    <mergeCell ref="C3:C4"/>
    <mergeCell ref="D3:D4"/>
    <mergeCell ref="E3:E4"/>
    <mergeCell ref="N3:N4"/>
    <mergeCell ref="F3:G3"/>
    <mergeCell ref="H3:I3"/>
  </mergeCells>
  <phoneticPr fontId="1" type="noConversion"/>
  <conditionalFormatting sqref="A5:N20">
    <cfRule type="containsText" dxfId="5" priority="1" stopIfTrue="1" operator="containsText" text=".">
      <formula>NOT(ISERROR(SEARCH(".",A5)))</formula>
    </cfRule>
    <cfRule type="notContainsText" dxfId="4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498B7-D8B5-46D4-A4DE-E9C5A699D6F0}">
  <sheetPr>
    <tabColor rgb="FFFFFFB7"/>
  </sheetPr>
  <dimension ref="A1:T20"/>
  <sheetViews>
    <sheetView workbookViewId="0">
      <pane xSplit="4" ySplit="4" topLeftCell="E5" activePane="bottomRight" state="frozen"/>
      <selection activeCell="A3" sqref="A3:A4"/>
      <selection pane="topRight" activeCell="A3" sqref="A3:A4"/>
      <selection pane="bottomLeft" activeCell="A3" sqref="A3:A4"/>
      <selection pane="bottomRight" activeCell="A3" sqref="A3:A4"/>
    </sheetView>
  </sheetViews>
  <sheetFormatPr defaultRowHeight="16.5" x14ac:dyDescent="0.3"/>
  <cols>
    <col min="1" max="2" width="20.625" style="1" customWidth="1"/>
    <col min="3" max="3" width="4.625" style="2" customWidth="1"/>
    <col min="4" max="5" width="6.625" style="3" customWidth="1"/>
    <col min="6" max="6" width="9.625" style="3" customWidth="1"/>
    <col min="7" max="7" width="6.625" style="3" customWidth="1"/>
    <col min="8" max="8" width="9.625" style="3" customWidth="1"/>
    <col min="9" max="9" width="6.625" style="3" customWidth="1"/>
    <col min="10" max="10" width="9.625" style="3" customWidth="1"/>
    <col min="11" max="11" width="6.625" style="3" customWidth="1"/>
    <col min="12" max="12" width="9.625" style="3" customWidth="1"/>
    <col min="13" max="13" width="8.625" style="1" customWidth="1"/>
    <col min="14" max="20" width="0" hidden="1" customWidth="1"/>
  </cols>
  <sheetData>
    <row r="1" spans="1:20" ht="30" customHeight="1" x14ac:dyDescent="0.3">
      <c r="A1" s="55" t="s">
        <v>114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</row>
    <row r="2" spans="1:20" ht="23.1" customHeight="1" x14ac:dyDescent="0.3">
      <c r="A2" s="56" t="s">
        <v>339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20" ht="23.1" customHeight="1" x14ac:dyDescent="0.3">
      <c r="A3" s="64" t="s">
        <v>115</v>
      </c>
      <c r="B3" s="64" t="s">
        <v>116</v>
      </c>
      <c r="C3" s="64" t="s">
        <v>3</v>
      </c>
      <c r="D3" s="64" t="s">
        <v>117</v>
      </c>
      <c r="E3" s="64" t="s">
        <v>118</v>
      </c>
      <c r="F3" s="64"/>
      <c r="G3" s="64" t="s">
        <v>119</v>
      </c>
      <c r="H3" s="64"/>
      <c r="I3" s="64" t="s">
        <v>120</v>
      </c>
      <c r="J3" s="64"/>
      <c r="K3" s="64" t="s">
        <v>121</v>
      </c>
      <c r="L3" s="64"/>
      <c r="M3" s="64" t="s">
        <v>122</v>
      </c>
    </row>
    <row r="4" spans="1:20" ht="23.1" customHeight="1" x14ac:dyDescent="0.3">
      <c r="A4" s="64"/>
      <c r="B4" s="64"/>
      <c r="C4" s="64"/>
      <c r="D4" s="64"/>
      <c r="E4" s="12" t="s">
        <v>123</v>
      </c>
      <c r="F4" s="12" t="s">
        <v>124</v>
      </c>
      <c r="G4" s="12" t="s">
        <v>123</v>
      </c>
      <c r="H4" s="12" t="s">
        <v>124</v>
      </c>
      <c r="I4" s="12" t="s">
        <v>123</v>
      </c>
      <c r="J4" s="12" t="s">
        <v>124</v>
      </c>
      <c r="K4" s="12" t="s">
        <v>123</v>
      </c>
      <c r="L4" s="12" t="s">
        <v>124</v>
      </c>
      <c r="M4" s="64"/>
      <c r="N4" t="s">
        <v>125</v>
      </c>
      <c r="O4" t="s">
        <v>126</v>
      </c>
      <c r="P4" t="s">
        <v>127</v>
      </c>
      <c r="Q4" t="s">
        <v>128</v>
      </c>
      <c r="R4" t="s">
        <v>129</v>
      </c>
      <c r="S4" t="s">
        <v>130</v>
      </c>
      <c r="T4" t="s">
        <v>15</v>
      </c>
    </row>
    <row r="5" spans="1:20" ht="23.1" customHeight="1" x14ac:dyDescent="0.3">
      <c r="A5" s="72" t="s">
        <v>131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4"/>
      <c r="M5" s="13" t="s">
        <v>132</v>
      </c>
    </row>
    <row r="6" spans="1:20" ht="23.1" customHeight="1" x14ac:dyDescent="0.3">
      <c r="A6" s="14" t="s">
        <v>133</v>
      </c>
      <c r="B6" s="15"/>
      <c r="C6" s="16" t="s">
        <v>134</v>
      </c>
      <c r="D6" s="17"/>
      <c r="E6" s="17"/>
      <c r="F6" s="17">
        <f>ROUNDDOWN(D6*E6, 1)</f>
        <v>0</v>
      </c>
      <c r="G6" s="17"/>
      <c r="H6" s="17">
        <f>ROUNDDOWN(D6*G6, 1)</f>
        <v>0</v>
      </c>
      <c r="I6" s="17"/>
      <c r="J6" s="17">
        <f>ROUNDDOWN(D6*I6, 1)</f>
        <v>0</v>
      </c>
      <c r="K6" s="17">
        <f t="shared" ref="K6:K14" si="0">E6+G6+I6</f>
        <v>0</v>
      </c>
      <c r="L6" s="17">
        <f t="shared" ref="L6:L14" si="1">F6+H6+J6</f>
        <v>0</v>
      </c>
      <c r="M6" s="15"/>
    </row>
    <row r="7" spans="1:20" ht="23.1" customHeight="1" x14ac:dyDescent="0.3">
      <c r="A7" s="16" t="s">
        <v>135</v>
      </c>
      <c r="B7" s="15"/>
      <c r="C7" s="16" t="s">
        <v>134</v>
      </c>
      <c r="D7" s="17"/>
      <c r="E7" s="17"/>
      <c r="F7" s="17">
        <f>SUMIF(Q6:Q6, "1", F6:F6)</f>
        <v>0</v>
      </c>
      <c r="G7" s="17"/>
      <c r="H7" s="17">
        <f>SUMIF(Q6:Q6, "1", H6:H6)</f>
        <v>0</v>
      </c>
      <c r="I7" s="17"/>
      <c r="J7" s="17">
        <f>SUMIF(Q6:Q6, "1", J6:J6)</f>
        <v>0</v>
      </c>
      <c r="K7" s="17">
        <f t="shared" si="0"/>
        <v>0</v>
      </c>
      <c r="L7" s="17">
        <f t="shared" si="1"/>
        <v>0</v>
      </c>
      <c r="M7" s="15"/>
    </row>
    <row r="8" spans="1:20" ht="23.1" customHeight="1" x14ac:dyDescent="0.3">
      <c r="A8" s="14" t="s">
        <v>133</v>
      </c>
      <c r="B8" s="15"/>
      <c r="C8" s="16" t="s">
        <v>134</v>
      </c>
      <c r="D8" s="17">
        <v>0</v>
      </c>
      <c r="E8" s="17">
        <v>0</v>
      </c>
      <c r="F8" s="17">
        <f>ROUNDDOWN(D8*E8, 1)</f>
        <v>0</v>
      </c>
      <c r="G8" s="17">
        <v>0</v>
      </c>
      <c r="H8" s="17">
        <f>ROUNDDOWN(D8*G8, 1)</f>
        <v>0</v>
      </c>
      <c r="I8" s="17">
        <v>0</v>
      </c>
      <c r="J8" s="17">
        <f>ROUNDDOWN(D8*I8, 1)</f>
        <v>0</v>
      </c>
      <c r="K8" s="17">
        <f t="shared" si="0"/>
        <v>0</v>
      </c>
      <c r="L8" s="17">
        <f t="shared" si="1"/>
        <v>0</v>
      </c>
      <c r="M8" s="15"/>
    </row>
    <row r="9" spans="1:20" ht="23.1" customHeight="1" x14ac:dyDescent="0.3">
      <c r="A9" s="14" t="s">
        <v>102</v>
      </c>
      <c r="B9" s="14" t="s">
        <v>103</v>
      </c>
      <c r="C9" s="16" t="s">
        <v>104</v>
      </c>
      <c r="D9" s="17">
        <v>2.5980000000000003E-4</v>
      </c>
      <c r="E9" s="17">
        <v>0</v>
      </c>
      <c r="F9" s="17">
        <f>ROUNDDOWN(D9*E9, 1)</f>
        <v>0</v>
      </c>
      <c r="G9" s="17">
        <v>0</v>
      </c>
      <c r="H9" s="17">
        <f>ROUNDDOWN(D9*G9, 1)</f>
        <v>0</v>
      </c>
      <c r="I9" s="17">
        <f>ROUNDDOWN(단가대비표!O36, 2)</f>
        <v>140857000</v>
      </c>
      <c r="J9" s="17">
        <f>ROUNDDOWN(D9*I9, 1)</f>
        <v>36594.6</v>
      </c>
      <c r="K9" s="17">
        <f t="shared" si="0"/>
        <v>140857000</v>
      </c>
      <c r="L9" s="17">
        <f t="shared" si="1"/>
        <v>36594.6</v>
      </c>
      <c r="M9" s="14" t="s">
        <v>105</v>
      </c>
      <c r="O9" s="11" t="s">
        <v>136</v>
      </c>
      <c r="P9" s="11" t="s">
        <v>137</v>
      </c>
      <c r="Q9">
        <v>1</v>
      </c>
    </row>
    <row r="10" spans="1:20" ht="23.1" customHeight="1" x14ac:dyDescent="0.3">
      <c r="A10" s="14" t="s">
        <v>138</v>
      </c>
      <c r="B10" s="15"/>
      <c r="C10" s="16" t="s">
        <v>134</v>
      </c>
      <c r="D10" s="17">
        <v>0</v>
      </c>
      <c r="E10" s="17">
        <v>0</v>
      </c>
      <c r="F10" s="17">
        <f>ROUNDDOWN(D10*E10, 1)</f>
        <v>0</v>
      </c>
      <c r="G10" s="17">
        <v>0</v>
      </c>
      <c r="H10" s="17">
        <f>ROUNDDOWN(D10*G10, 1)</f>
        <v>0</v>
      </c>
      <c r="I10" s="17">
        <v>0</v>
      </c>
      <c r="J10" s="17">
        <f>ROUNDDOWN(D10*I10, 1)</f>
        <v>0</v>
      </c>
      <c r="K10" s="17">
        <f t="shared" si="0"/>
        <v>0</v>
      </c>
      <c r="L10" s="17">
        <f t="shared" si="1"/>
        <v>0</v>
      </c>
      <c r="M10" s="15"/>
    </row>
    <row r="11" spans="1:20" ht="23.1" customHeight="1" x14ac:dyDescent="0.3">
      <c r="A11" s="14" t="s">
        <v>16</v>
      </c>
      <c r="B11" s="14" t="s">
        <v>17</v>
      </c>
      <c r="C11" s="16" t="s">
        <v>18</v>
      </c>
      <c r="D11" s="17">
        <v>5.0999999999999996</v>
      </c>
      <c r="E11" s="17">
        <f>ROUNDDOWN(단가대비표!O5, 2)</f>
        <v>1590</v>
      </c>
      <c r="F11" s="17">
        <f>ROUNDDOWN(D11*E11, 1)</f>
        <v>8109</v>
      </c>
      <c r="G11" s="17">
        <v>0</v>
      </c>
      <c r="H11" s="17">
        <f>ROUNDDOWN(D11*G11, 1)</f>
        <v>0</v>
      </c>
      <c r="I11" s="17">
        <v>0</v>
      </c>
      <c r="J11" s="17">
        <f>ROUNDDOWN(D11*I11, 1)</f>
        <v>0</v>
      </c>
      <c r="K11" s="17">
        <f t="shared" si="0"/>
        <v>1590</v>
      </c>
      <c r="L11" s="17">
        <f t="shared" si="1"/>
        <v>8109</v>
      </c>
      <c r="M11" s="15"/>
      <c r="O11" s="11" t="s">
        <v>139</v>
      </c>
      <c r="P11" s="11" t="s">
        <v>137</v>
      </c>
      <c r="Q11">
        <v>1</v>
      </c>
    </row>
    <row r="12" spans="1:20" ht="23.1" customHeight="1" x14ac:dyDescent="0.3">
      <c r="A12" s="14" t="s">
        <v>140</v>
      </c>
      <c r="B12" s="15" t="str">
        <f>"주연료비의 " &amp; N12*100 &amp; "%"</f>
        <v>주연료비의 20%</v>
      </c>
      <c r="C12" s="16" t="s">
        <v>141</v>
      </c>
      <c r="D12" s="17">
        <v>1</v>
      </c>
      <c r="E12" s="17">
        <f>SUMIF(O6:O14, "01", F6:F14)</f>
        <v>8109</v>
      </c>
      <c r="F12" s="17">
        <f>ROUNDDOWN((E12)*N12, 1)</f>
        <v>1621.8</v>
      </c>
      <c r="G12" s="17">
        <v>0</v>
      </c>
      <c r="H12" s="17">
        <v>0</v>
      </c>
      <c r="I12" s="17">
        <v>0</v>
      </c>
      <c r="J12" s="17">
        <v>0</v>
      </c>
      <c r="K12" s="17">
        <f t="shared" si="0"/>
        <v>8109</v>
      </c>
      <c r="L12" s="17">
        <f t="shared" si="1"/>
        <v>1621.8</v>
      </c>
      <c r="M12" s="14" t="s">
        <v>142</v>
      </c>
      <c r="N12">
        <v>0.2</v>
      </c>
      <c r="P12" s="11" t="s">
        <v>137</v>
      </c>
      <c r="Q12">
        <v>1</v>
      </c>
      <c r="R12" s="11" t="s">
        <v>143</v>
      </c>
      <c r="S12" s="11" t="s">
        <v>144</v>
      </c>
      <c r="T12" s="11" t="s">
        <v>145</v>
      </c>
    </row>
    <row r="13" spans="1:20" ht="23.1" customHeight="1" x14ac:dyDescent="0.3">
      <c r="A13" s="14" t="s">
        <v>146</v>
      </c>
      <c r="B13" s="15"/>
      <c r="C13" s="16" t="s">
        <v>134</v>
      </c>
      <c r="D13" s="17">
        <v>0</v>
      </c>
      <c r="E13" s="17">
        <v>0</v>
      </c>
      <c r="F13" s="17">
        <f>ROUNDDOWN(D13*E13, 1)</f>
        <v>0</v>
      </c>
      <c r="G13" s="17">
        <v>0</v>
      </c>
      <c r="H13" s="17">
        <f>ROUNDDOWN(D13*G13, 1)</f>
        <v>0</v>
      </c>
      <c r="I13" s="17">
        <v>0</v>
      </c>
      <c r="J13" s="17">
        <f>ROUNDDOWN(D13*I13, 1)</f>
        <v>0</v>
      </c>
      <c r="K13" s="17">
        <f t="shared" si="0"/>
        <v>0</v>
      </c>
      <c r="L13" s="17">
        <f t="shared" si="1"/>
        <v>0</v>
      </c>
      <c r="M13" s="15"/>
    </row>
    <row r="14" spans="1:20" ht="23.1" customHeight="1" x14ac:dyDescent="0.3">
      <c r="A14" s="14" t="s">
        <v>100</v>
      </c>
      <c r="B14" s="14" t="s">
        <v>91</v>
      </c>
      <c r="C14" s="16" t="s">
        <v>92</v>
      </c>
      <c r="D14" s="17">
        <v>4.3402770833333333E-2</v>
      </c>
      <c r="E14" s="17">
        <v>0</v>
      </c>
      <c r="F14" s="17">
        <f>ROUNDDOWN(D14*E14, 1)</f>
        <v>0</v>
      </c>
      <c r="G14" s="17">
        <f>ROUNDDOWN(단가대비표!O35, 2)</f>
        <v>240042</v>
      </c>
      <c r="H14" s="17">
        <f>ROUNDDOWN(D14*G14, 1)</f>
        <v>10418.4</v>
      </c>
      <c r="I14" s="17">
        <v>0</v>
      </c>
      <c r="J14" s="17">
        <f>ROUNDDOWN(D14*I14, 1)</f>
        <v>0</v>
      </c>
      <c r="K14" s="17">
        <f t="shared" si="0"/>
        <v>240042</v>
      </c>
      <c r="L14" s="17">
        <f t="shared" si="1"/>
        <v>10418.4</v>
      </c>
      <c r="M14" s="14" t="s">
        <v>101</v>
      </c>
      <c r="O14" s="11" t="s">
        <v>147</v>
      </c>
      <c r="P14" s="11" t="s">
        <v>137</v>
      </c>
      <c r="Q14">
        <v>1</v>
      </c>
    </row>
    <row r="15" spans="1:20" ht="23.1" customHeight="1" x14ac:dyDescent="0.3">
      <c r="A15" s="18" t="s">
        <v>148</v>
      </c>
      <c r="B15" s="19"/>
      <c r="C15" s="20"/>
      <c r="D15" s="21"/>
      <c r="E15" s="21"/>
      <c r="F15" s="21">
        <f>ROUNDDOWN(SUMIF(Q6:Q14, "1", F6:F14), 0)</f>
        <v>9730</v>
      </c>
      <c r="G15" s="21"/>
      <c r="H15" s="21">
        <f>ROUNDDOWN(SUMIF(Q6:Q14, "1", H6:H14), 0)</f>
        <v>10418</v>
      </c>
      <c r="I15" s="21"/>
      <c r="J15" s="21">
        <f>ROUNDDOWN(SUMIF(Q6:Q14, "1", J6:J14), 0)</f>
        <v>36594</v>
      </c>
      <c r="K15" s="21"/>
      <c r="L15" s="21">
        <f>F15+H15+J15</f>
        <v>56742</v>
      </c>
      <c r="M15" s="19"/>
    </row>
    <row r="16" spans="1:20" ht="23.1" customHeight="1" x14ac:dyDescent="0.3">
      <c r="A16" s="15"/>
      <c r="B16" s="15"/>
      <c r="C16" s="22"/>
      <c r="D16" s="17"/>
      <c r="E16" s="17"/>
      <c r="F16" s="17"/>
      <c r="G16" s="17"/>
      <c r="H16" s="17"/>
      <c r="I16" s="17"/>
      <c r="J16" s="17"/>
      <c r="K16" s="17"/>
      <c r="L16" s="17"/>
      <c r="M16" s="15"/>
    </row>
    <row r="17" spans="1:13" ht="23.1" customHeight="1" x14ac:dyDescent="0.3">
      <c r="A17" s="15"/>
      <c r="B17" s="15"/>
      <c r="C17" s="22"/>
      <c r="D17" s="17"/>
      <c r="E17" s="17"/>
      <c r="F17" s="17"/>
      <c r="G17" s="17"/>
      <c r="H17" s="17"/>
      <c r="I17" s="17"/>
      <c r="J17" s="17"/>
      <c r="K17" s="17"/>
      <c r="L17" s="17"/>
      <c r="M17" s="15"/>
    </row>
    <row r="18" spans="1:13" ht="23.1" customHeight="1" x14ac:dyDescent="0.3">
      <c r="A18" s="15"/>
      <c r="B18" s="15"/>
      <c r="C18" s="22"/>
      <c r="D18" s="17"/>
      <c r="E18" s="17"/>
      <c r="F18" s="17"/>
      <c r="G18" s="17"/>
      <c r="H18" s="17"/>
      <c r="I18" s="17"/>
      <c r="J18" s="17"/>
      <c r="K18" s="17"/>
      <c r="L18" s="17"/>
      <c r="M18" s="15"/>
    </row>
    <row r="19" spans="1:13" ht="23.1" customHeight="1" x14ac:dyDescent="0.3">
      <c r="A19" s="15"/>
      <c r="B19" s="15"/>
      <c r="C19" s="22"/>
      <c r="D19" s="17"/>
      <c r="E19" s="17"/>
      <c r="F19" s="17"/>
      <c r="G19" s="17"/>
      <c r="H19" s="17"/>
      <c r="I19" s="17"/>
      <c r="J19" s="17"/>
      <c r="K19" s="17"/>
      <c r="L19" s="17"/>
      <c r="M19" s="15"/>
    </row>
    <row r="20" spans="1:13" ht="23.1" customHeight="1" x14ac:dyDescent="0.3">
      <c r="A20" s="15"/>
      <c r="B20" s="15"/>
      <c r="C20" s="22"/>
      <c r="D20" s="17"/>
      <c r="E20" s="17"/>
      <c r="F20" s="17"/>
      <c r="G20" s="17"/>
      <c r="H20" s="17"/>
      <c r="I20" s="17"/>
      <c r="J20" s="17"/>
      <c r="K20" s="17"/>
      <c r="L20" s="17"/>
      <c r="M20" s="15"/>
    </row>
  </sheetData>
  <mergeCells count="12">
    <mergeCell ref="K3:L3"/>
    <mergeCell ref="A5:L5"/>
    <mergeCell ref="A1:M1"/>
    <mergeCell ref="A2:M2"/>
    <mergeCell ref="A3:A4"/>
    <mergeCell ref="B3:B4"/>
    <mergeCell ref="C3:C4"/>
    <mergeCell ref="D3:D4"/>
    <mergeCell ref="M3:M4"/>
    <mergeCell ref="E3:F3"/>
    <mergeCell ref="G3:H3"/>
    <mergeCell ref="I3:J3"/>
  </mergeCells>
  <phoneticPr fontId="1" type="noConversion"/>
  <conditionalFormatting sqref="A6:M20 A5 M5">
    <cfRule type="containsText" dxfId="3" priority="1" stopIfTrue="1" operator="containsText" text=".">
      <formula>NOT(ISERROR(SEARCH(".",A5)))</formula>
    </cfRule>
    <cfRule type="notContainsText" dxfId="2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1" manualBreakCount="1">
    <brk id="2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4CE02-78BA-4D1C-BC40-42D33BBB55C7}">
  <sheetPr>
    <tabColor rgb="FFFFFFB7"/>
  </sheetPr>
  <dimension ref="A1:Q52"/>
  <sheetViews>
    <sheetView workbookViewId="0">
      <pane xSplit="3" ySplit="4" topLeftCell="D5" activePane="bottomRight" state="frozen"/>
      <selection activeCell="A3" sqref="A3:A4"/>
      <selection pane="topRight" activeCell="A3" sqref="A3:A4"/>
      <selection pane="bottomLeft" activeCell="A3" sqref="A3:A4"/>
      <selection pane="bottomRight" activeCell="A3" sqref="A3:A4"/>
    </sheetView>
  </sheetViews>
  <sheetFormatPr defaultRowHeight="16.5" x14ac:dyDescent="0.3"/>
  <cols>
    <col min="1" max="2" width="17.625" style="1" customWidth="1"/>
    <col min="3" max="3" width="3.625" style="2" customWidth="1"/>
    <col min="4" max="4" width="6.625" style="3" customWidth="1"/>
    <col min="5" max="5" width="4.625" style="3" customWidth="1"/>
    <col min="6" max="6" width="6.625" style="3" customWidth="1"/>
    <col min="7" max="7" width="4.625" style="3" customWidth="1"/>
    <col min="8" max="9" width="6.625" style="3" customWidth="1"/>
    <col min="10" max="10" width="4.625" style="3" customWidth="1"/>
    <col min="11" max="11" width="6.625" style="3" customWidth="1"/>
    <col min="12" max="12" width="4.625" style="3" customWidth="1"/>
    <col min="13" max="14" width="6.625" style="3" customWidth="1"/>
    <col min="15" max="15" width="7.625" style="3" customWidth="1"/>
    <col min="16" max="16" width="7.625" style="1" customWidth="1"/>
    <col min="17" max="17" width="0" hidden="1" customWidth="1"/>
  </cols>
  <sheetData>
    <row r="1" spans="1:17" ht="30" customHeight="1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7" ht="23.1" customHeight="1" x14ac:dyDescent="0.3">
      <c r="A2" s="56" t="s">
        <v>339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1:17" ht="23.1" customHeight="1" x14ac:dyDescent="0.3">
      <c r="A3" s="75" t="s">
        <v>1</v>
      </c>
      <c r="B3" s="75" t="s">
        <v>2</v>
      </c>
      <c r="C3" s="75" t="s">
        <v>3</v>
      </c>
      <c r="D3" s="75" t="s">
        <v>4</v>
      </c>
      <c r="E3" s="75"/>
      <c r="F3" s="75" t="s">
        <v>5</v>
      </c>
      <c r="G3" s="75"/>
      <c r="H3" s="4" t="s">
        <v>6</v>
      </c>
      <c r="I3" s="75" t="s">
        <v>7</v>
      </c>
      <c r="J3" s="75"/>
      <c r="K3" s="75" t="s">
        <v>8</v>
      </c>
      <c r="L3" s="75"/>
      <c r="M3" s="4" t="s">
        <v>9</v>
      </c>
      <c r="N3" s="4" t="s">
        <v>10</v>
      </c>
      <c r="O3" s="75" t="s">
        <v>11</v>
      </c>
      <c r="P3" s="75" t="s">
        <v>12</v>
      </c>
    </row>
    <row r="4" spans="1:17" ht="23.1" customHeight="1" x14ac:dyDescent="0.3">
      <c r="A4" s="75"/>
      <c r="B4" s="75"/>
      <c r="C4" s="75"/>
      <c r="D4" s="4" t="s">
        <v>13</v>
      </c>
      <c r="E4" s="4" t="s">
        <v>14</v>
      </c>
      <c r="F4" s="4" t="s">
        <v>13</v>
      </c>
      <c r="G4" s="4" t="s">
        <v>14</v>
      </c>
      <c r="H4" s="4" t="s">
        <v>13</v>
      </c>
      <c r="I4" s="4" t="s">
        <v>13</v>
      </c>
      <c r="J4" s="4" t="s">
        <v>14</v>
      </c>
      <c r="K4" s="4" t="s">
        <v>13</v>
      </c>
      <c r="L4" s="4" t="s">
        <v>14</v>
      </c>
      <c r="M4" s="4" t="s">
        <v>13</v>
      </c>
      <c r="N4" s="4" t="s">
        <v>13</v>
      </c>
      <c r="O4" s="75"/>
      <c r="P4" s="75"/>
      <c r="Q4" t="s">
        <v>15</v>
      </c>
    </row>
    <row r="5" spans="1:17" ht="23.1" customHeight="1" x14ac:dyDescent="0.3">
      <c r="A5" s="5" t="s">
        <v>16</v>
      </c>
      <c r="B5" s="5" t="s">
        <v>17</v>
      </c>
      <c r="C5" s="6" t="s">
        <v>18</v>
      </c>
      <c r="D5" s="7">
        <v>1663</v>
      </c>
      <c r="E5" s="8" t="s">
        <v>19</v>
      </c>
      <c r="F5" s="7"/>
      <c r="G5" s="7"/>
      <c r="H5" s="7">
        <v>1590</v>
      </c>
      <c r="I5" s="7">
        <v>1708</v>
      </c>
      <c r="J5" s="8" t="s">
        <v>20</v>
      </c>
      <c r="K5" s="7">
        <v>1680</v>
      </c>
      <c r="L5" s="8" t="s">
        <v>21</v>
      </c>
      <c r="M5" s="7"/>
      <c r="N5" s="7"/>
      <c r="O5" s="7">
        <f>H5</f>
        <v>1590</v>
      </c>
      <c r="P5" s="9"/>
    </row>
    <row r="6" spans="1:17" ht="23.1" customHeight="1" x14ac:dyDescent="0.3">
      <c r="A6" s="5" t="s">
        <v>22</v>
      </c>
      <c r="B6" s="5" t="s">
        <v>23</v>
      </c>
      <c r="C6" s="6" t="s">
        <v>24</v>
      </c>
      <c r="D6" s="7"/>
      <c r="E6" s="7"/>
      <c r="F6" s="7">
        <v>4000</v>
      </c>
      <c r="G6" s="8" t="s">
        <v>25</v>
      </c>
      <c r="H6" s="7">
        <v>3400</v>
      </c>
      <c r="I6" s="7">
        <v>4000</v>
      </c>
      <c r="J6" s="8" t="s">
        <v>26</v>
      </c>
      <c r="K6" s="7"/>
      <c r="L6" s="7"/>
      <c r="M6" s="7"/>
      <c r="N6" s="7"/>
      <c r="O6" s="7">
        <f>H6</f>
        <v>3400</v>
      </c>
      <c r="P6" s="9"/>
    </row>
    <row r="7" spans="1:17" ht="23.1" customHeight="1" x14ac:dyDescent="0.3">
      <c r="A7" s="5" t="s">
        <v>22</v>
      </c>
      <c r="B7" s="5" t="s">
        <v>27</v>
      </c>
      <c r="C7" s="6" t="s">
        <v>24</v>
      </c>
      <c r="D7" s="7"/>
      <c r="E7" s="7"/>
      <c r="F7" s="7">
        <v>5600</v>
      </c>
      <c r="G7" s="8" t="s">
        <v>25</v>
      </c>
      <c r="H7" s="7">
        <v>4760</v>
      </c>
      <c r="I7" s="7">
        <v>5600</v>
      </c>
      <c r="J7" s="8" t="s">
        <v>26</v>
      </c>
      <c r="K7" s="7"/>
      <c r="L7" s="7"/>
      <c r="M7" s="7"/>
      <c r="N7" s="7"/>
      <c r="O7" s="7">
        <f>H7</f>
        <v>4760</v>
      </c>
      <c r="P7" s="9"/>
    </row>
    <row r="8" spans="1:17" ht="23.1" customHeight="1" x14ac:dyDescent="0.3">
      <c r="A8" s="5" t="s">
        <v>22</v>
      </c>
      <c r="B8" s="5" t="s">
        <v>28</v>
      </c>
      <c r="C8" s="6" t="s">
        <v>24</v>
      </c>
      <c r="D8" s="7"/>
      <c r="E8" s="7"/>
      <c r="F8" s="7">
        <v>6400</v>
      </c>
      <c r="G8" s="8" t="s">
        <v>25</v>
      </c>
      <c r="H8" s="7">
        <v>5440</v>
      </c>
      <c r="I8" s="7">
        <v>6400</v>
      </c>
      <c r="J8" s="8" t="s">
        <v>26</v>
      </c>
      <c r="K8" s="7"/>
      <c r="L8" s="7"/>
      <c r="M8" s="7"/>
      <c r="N8" s="7"/>
      <c r="O8" s="7">
        <f>H8</f>
        <v>5440</v>
      </c>
      <c r="P8" s="9"/>
    </row>
    <row r="9" spans="1:17" ht="23.1" customHeight="1" x14ac:dyDescent="0.3">
      <c r="A9" s="5" t="s">
        <v>22</v>
      </c>
      <c r="B9" s="5" t="s">
        <v>29</v>
      </c>
      <c r="C9" s="6" t="s">
        <v>24</v>
      </c>
      <c r="D9" s="7"/>
      <c r="E9" s="7"/>
      <c r="F9" s="7">
        <v>8000</v>
      </c>
      <c r="G9" s="8" t="s">
        <v>25</v>
      </c>
      <c r="H9" s="7">
        <v>6800</v>
      </c>
      <c r="I9" s="7">
        <v>8000</v>
      </c>
      <c r="J9" s="8" t="s">
        <v>26</v>
      </c>
      <c r="K9" s="7"/>
      <c r="L9" s="7"/>
      <c r="M9" s="7"/>
      <c r="N9" s="7"/>
      <c r="O9" s="7">
        <f>H9</f>
        <v>6800</v>
      </c>
      <c r="P9" s="9"/>
    </row>
    <row r="10" spans="1:17" ht="23.1" customHeight="1" x14ac:dyDescent="0.3">
      <c r="A10" s="5" t="s">
        <v>30</v>
      </c>
      <c r="B10" s="5" t="s">
        <v>31</v>
      </c>
      <c r="C10" s="6" t="s">
        <v>32</v>
      </c>
      <c r="D10" s="7">
        <v>36.5</v>
      </c>
      <c r="E10" s="8" t="s">
        <v>33</v>
      </c>
      <c r="F10" s="7"/>
      <c r="G10" s="7"/>
      <c r="H10" s="7"/>
      <c r="I10" s="7">
        <v>26.1</v>
      </c>
      <c r="J10" s="8" t="s">
        <v>34</v>
      </c>
      <c r="K10" s="7">
        <v>25.2</v>
      </c>
      <c r="L10" s="8" t="s">
        <v>35</v>
      </c>
      <c r="M10" s="7"/>
      <c r="N10" s="7"/>
      <c r="O10" s="7">
        <f>K10</f>
        <v>25.2</v>
      </c>
      <c r="P10" s="5" t="s">
        <v>36</v>
      </c>
    </row>
    <row r="11" spans="1:17" ht="23.1" customHeight="1" x14ac:dyDescent="0.3">
      <c r="A11" s="5" t="s">
        <v>37</v>
      </c>
      <c r="B11" s="5" t="s">
        <v>38</v>
      </c>
      <c r="C11" s="6" t="s">
        <v>24</v>
      </c>
      <c r="D11" s="7">
        <v>19710</v>
      </c>
      <c r="E11" s="8" t="s">
        <v>39</v>
      </c>
      <c r="F11" s="7">
        <v>22645</v>
      </c>
      <c r="G11" s="8" t="s">
        <v>40</v>
      </c>
      <c r="H11" s="7"/>
      <c r="I11" s="7">
        <v>22430</v>
      </c>
      <c r="J11" s="8" t="s">
        <v>41</v>
      </c>
      <c r="K11" s="7">
        <v>25950</v>
      </c>
      <c r="L11" s="8" t="s">
        <v>42</v>
      </c>
      <c r="M11" s="7"/>
      <c r="N11" s="7"/>
      <c r="O11" s="7">
        <f t="shared" ref="O11:O16" si="0">D11</f>
        <v>19710</v>
      </c>
      <c r="P11" s="5" t="s">
        <v>43</v>
      </c>
    </row>
    <row r="12" spans="1:17" ht="23.1" customHeight="1" x14ac:dyDescent="0.3">
      <c r="A12" s="5" t="s">
        <v>37</v>
      </c>
      <c r="B12" s="5" t="s">
        <v>44</v>
      </c>
      <c r="C12" s="6" t="s">
        <v>24</v>
      </c>
      <c r="D12" s="7">
        <v>27347</v>
      </c>
      <c r="E12" s="8" t="s">
        <v>39</v>
      </c>
      <c r="F12" s="7">
        <v>31417</v>
      </c>
      <c r="G12" s="8" t="s">
        <v>40</v>
      </c>
      <c r="H12" s="7"/>
      <c r="I12" s="7">
        <v>31117</v>
      </c>
      <c r="J12" s="8" t="s">
        <v>41</v>
      </c>
      <c r="K12" s="7">
        <v>38950</v>
      </c>
      <c r="L12" s="8" t="s">
        <v>42</v>
      </c>
      <c r="M12" s="7"/>
      <c r="N12" s="7"/>
      <c r="O12" s="7">
        <f t="shared" si="0"/>
        <v>27347</v>
      </c>
      <c r="P12" s="5" t="s">
        <v>43</v>
      </c>
    </row>
    <row r="13" spans="1:17" ht="23.1" customHeight="1" x14ac:dyDescent="0.3">
      <c r="A13" s="5" t="s">
        <v>37</v>
      </c>
      <c r="B13" s="5" t="s">
        <v>45</v>
      </c>
      <c r="C13" s="6" t="s">
        <v>24</v>
      </c>
      <c r="D13" s="7">
        <v>78135</v>
      </c>
      <c r="E13" s="8" t="s">
        <v>39</v>
      </c>
      <c r="F13" s="7">
        <v>89772</v>
      </c>
      <c r="G13" s="8" t="s">
        <v>40</v>
      </c>
      <c r="H13" s="7"/>
      <c r="I13" s="7">
        <v>88912</v>
      </c>
      <c r="J13" s="8" t="s">
        <v>41</v>
      </c>
      <c r="K13" s="7">
        <v>106900</v>
      </c>
      <c r="L13" s="8" t="s">
        <v>42</v>
      </c>
      <c r="M13" s="7"/>
      <c r="N13" s="7"/>
      <c r="O13" s="7">
        <f t="shared" si="0"/>
        <v>78135</v>
      </c>
      <c r="P13" s="5" t="s">
        <v>43</v>
      </c>
    </row>
    <row r="14" spans="1:17" ht="23.1" customHeight="1" x14ac:dyDescent="0.3">
      <c r="A14" s="5" t="s">
        <v>37</v>
      </c>
      <c r="B14" s="5" t="s">
        <v>46</v>
      </c>
      <c r="C14" s="6" t="s">
        <v>24</v>
      </c>
      <c r="D14" s="7">
        <v>110725</v>
      </c>
      <c r="E14" s="8" t="s">
        <v>39</v>
      </c>
      <c r="F14" s="7">
        <v>127220</v>
      </c>
      <c r="G14" s="8" t="s">
        <v>40</v>
      </c>
      <c r="H14" s="7"/>
      <c r="I14" s="7">
        <v>126002</v>
      </c>
      <c r="J14" s="8" t="s">
        <v>41</v>
      </c>
      <c r="K14" s="7"/>
      <c r="L14" s="7"/>
      <c r="M14" s="7"/>
      <c r="N14" s="7"/>
      <c r="O14" s="7">
        <f t="shared" si="0"/>
        <v>110725</v>
      </c>
      <c r="P14" s="5" t="s">
        <v>43</v>
      </c>
    </row>
    <row r="15" spans="1:17" ht="23.1" customHeight="1" x14ac:dyDescent="0.3">
      <c r="A15" s="5" t="s">
        <v>47</v>
      </c>
      <c r="B15" s="5" t="s">
        <v>48</v>
      </c>
      <c r="C15" s="6" t="s">
        <v>24</v>
      </c>
      <c r="D15" s="7">
        <v>5950</v>
      </c>
      <c r="E15" s="8" t="s">
        <v>49</v>
      </c>
      <c r="F15" s="7"/>
      <c r="G15" s="7"/>
      <c r="H15" s="7"/>
      <c r="I15" s="7"/>
      <c r="J15" s="7"/>
      <c r="K15" s="7"/>
      <c r="L15" s="7"/>
      <c r="M15" s="7"/>
      <c r="N15" s="7"/>
      <c r="O15" s="7">
        <f t="shared" si="0"/>
        <v>5950</v>
      </c>
      <c r="P15" s="9"/>
    </row>
    <row r="16" spans="1:17" ht="23.1" customHeight="1" x14ac:dyDescent="0.3">
      <c r="A16" s="5" t="s">
        <v>50</v>
      </c>
      <c r="B16" s="5" t="s">
        <v>51</v>
      </c>
      <c r="C16" s="6" t="s">
        <v>32</v>
      </c>
      <c r="D16" s="7">
        <v>18670</v>
      </c>
      <c r="E16" s="8" t="s">
        <v>49</v>
      </c>
      <c r="F16" s="7"/>
      <c r="G16" s="7"/>
      <c r="H16" s="7"/>
      <c r="I16" s="7"/>
      <c r="J16" s="7"/>
      <c r="K16" s="7"/>
      <c r="L16" s="7"/>
      <c r="M16" s="7"/>
      <c r="N16" s="7"/>
      <c r="O16" s="7">
        <f t="shared" si="0"/>
        <v>18670</v>
      </c>
      <c r="P16" s="9"/>
    </row>
    <row r="17" spans="1:16" ht="23.1" customHeight="1" x14ac:dyDescent="0.3">
      <c r="A17" s="5" t="s">
        <v>52</v>
      </c>
      <c r="B17" s="5" t="s">
        <v>53</v>
      </c>
      <c r="C17" s="6" t="s">
        <v>54</v>
      </c>
      <c r="D17" s="7"/>
      <c r="E17" s="7"/>
      <c r="F17" s="7">
        <v>2400</v>
      </c>
      <c r="G17" s="8" t="s">
        <v>55</v>
      </c>
      <c r="H17" s="7">
        <v>2842</v>
      </c>
      <c r="I17" s="7"/>
      <c r="J17" s="7"/>
      <c r="K17" s="7">
        <v>2400</v>
      </c>
      <c r="L17" s="8" t="s">
        <v>56</v>
      </c>
      <c r="M17" s="7"/>
      <c r="N17" s="7"/>
      <c r="O17" s="7">
        <f>MIN(D17,F17,H17,I17,K17,N17)</f>
        <v>2400</v>
      </c>
      <c r="P17" s="9"/>
    </row>
    <row r="18" spans="1:16" ht="23.1" customHeight="1" x14ac:dyDescent="0.3">
      <c r="A18" s="5" t="s">
        <v>57</v>
      </c>
      <c r="B18" s="5" t="s">
        <v>58</v>
      </c>
      <c r="C18" s="6" t="s">
        <v>59</v>
      </c>
      <c r="D18" s="7">
        <v>14500</v>
      </c>
      <c r="E18" s="8" t="s">
        <v>60</v>
      </c>
      <c r="F18" s="7"/>
      <c r="G18" s="7"/>
      <c r="H18" s="7"/>
      <c r="I18" s="7">
        <v>14500</v>
      </c>
      <c r="J18" s="8" t="s">
        <v>61</v>
      </c>
      <c r="K18" s="7">
        <v>16000</v>
      </c>
      <c r="L18" s="8" t="s">
        <v>62</v>
      </c>
      <c r="M18" s="7"/>
      <c r="N18" s="7"/>
      <c r="O18" s="7">
        <f>I18</f>
        <v>14500</v>
      </c>
      <c r="P18" s="5" t="s">
        <v>63</v>
      </c>
    </row>
    <row r="19" spans="1:16" ht="23.1" customHeight="1" x14ac:dyDescent="0.3">
      <c r="A19" s="5" t="s">
        <v>57</v>
      </c>
      <c r="B19" s="5" t="s">
        <v>64</v>
      </c>
      <c r="C19" s="6" t="s">
        <v>59</v>
      </c>
      <c r="D19" s="7"/>
      <c r="E19" s="7"/>
      <c r="F19" s="7"/>
      <c r="G19" s="7"/>
      <c r="H19" s="7"/>
      <c r="I19" s="7">
        <v>32000</v>
      </c>
      <c r="J19" s="8" t="s">
        <v>65</v>
      </c>
      <c r="K19" s="7">
        <v>32000</v>
      </c>
      <c r="L19" s="8" t="s">
        <v>66</v>
      </c>
      <c r="M19" s="7"/>
      <c r="N19" s="7"/>
      <c r="O19" s="7">
        <f>MIN(D19,F19,H19,I19,K19,N19)</f>
        <v>32000</v>
      </c>
      <c r="P19" s="5" t="s">
        <v>67</v>
      </c>
    </row>
    <row r="20" spans="1:16" ht="23.1" customHeight="1" x14ac:dyDescent="0.3">
      <c r="A20" s="5" t="s">
        <v>68</v>
      </c>
      <c r="B20" s="5" t="s">
        <v>69</v>
      </c>
      <c r="C20" s="6" t="s">
        <v>32</v>
      </c>
      <c r="D20" s="7">
        <v>18.16</v>
      </c>
      <c r="E20" s="8" t="s">
        <v>70</v>
      </c>
      <c r="F20" s="7">
        <v>13.5</v>
      </c>
      <c r="G20" s="8" t="s">
        <v>71</v>
      </c>
      <c r="H20" s="7"/>
      <c r="I20" s="7">
        <v>14</v>
      </c>
      <c r="J20" s="8" t="s">
        <v>72</v>
      </c>
      <c r="K20" s="7">
        <v>13.6</v>
      </c>
      <c r="L20" s="8" t="s">
        <v>35</v>
      </c>
      <c r="M20" s="7"/>
      <c r="N20" s="7"/>
      <c r="O20" s="7">
        <f t="shared" ref="O20:O27" si="1">F20</f>
        <v>13.5</v>
      </c>
      <c r="P20" s="5" t="s">
        <v>73</v>
      </c>
    </row>
    <row r="21" spans="1:16" ht="23.1" customHeight="1" x14ac:dyDescent="0.3">
      <c r="A21" s="5" t="s">
        <v>74</v>
      </c>
      <c r="B21" s="5" t="s">
        <v>75</v>
      </c>
      <c r="C21" s="6" t="s">
        <v>76</v>
      </c>
      <c r="D21" s="7"/>
      <c r="E21" s="7"/>
      <c r="F21" s="7">
        <v>15000</v>
      </c>
      <c r="G21" s="8" t="s">
        <v>77</v>
      </c>
      <c r="H21" s="7"/>
      <c r="I21" s="7"/>
      <c r="J21" s="7"/>
      <c r="K21" s="7"/>
      <c r="L21" s="7"/>
      <c r="M21" s="7"/>
      <c r="N21" s="7"/>
      <c r="O21" s="7">
        <f t="shared" si="1"/>
        <v>15000</v>
      </c>
      <c r="P21" s="9"/>
    </row>
    <row r="22" spans="1:16" ht="23.1" customHeight="1" x14ac:dyDescent="0.3">
      <c r="A22" s="5" t="s">
        <v>74</v>
      </c>
      <c r="B22" s="5" t="s">
        <v>78</v>
      </c>
      <c r="C22" s="6" t="s">
        <v>76</v>
      </c>
      <c r="D22" s="7"/>
      <c r="E22" s="7"/>
      <c r="F22" s="7">
        <v>15000</v>
      </c>
      <c r="G22" s="8" t="s">
        <v>77</v>
      </c>
      <c r="H22" s="7"/>
      <c r="I22" s="7"/>
      <c r="J22" s="7"/>
      <c r="K22" s="7"/>
      <c r="L22" s="7"/>
      <c r="M22" s="7"/>
      <c r="N22" s="7"/>
      <c r="O22" s="7">
        <f t="shared" si="1"/>
        <v>15000</v>
      </c>
      <c r="P22" s="9"/>
    </row>
    <row r="23" spans="1:16" ht="23.1" customHeight="1" x14ac:dyDescent="0.3">
      <c r="A23" s="5" t="s">
        <v>74</v>
      </c>
      <c r="B23" s="5" t="s">
        <v>79</v>
      </c>
      <c r="C23" s="6" t="s">
        <v>76</v>
      </c>
      <c r="D23" s="7"/>
      <c r="E23" s="7"/>
      <c r="F23" s="7">
        <v>25000</v>
      </c>
      <c r="G23" s="8" t="s">
        <v>77</v>
      </c>
      <c r="H23" s="7"/>
      <c r="I23" s="7"/>
      <c r="J23" s="7"/>
      <c r="K23" s="7"/>
      <c r="L23" s="7"/>
      <c r="M23" s="7"/>
      <c r="N23" s="7"/>
      <c r="O23" s="7">
        <f t="shared" si="1"/>
        <v>25000</v>
      </c>
      <c r="P23" s="9"/>
    </row>
    <row r="24" spans="1:16" ht="23.1" customHeight="1" x14ac:dyDescent="0.3">
      <c r="A24" s="5" t="s">
        <v>74</v>
      </c>
      <c r="B24" s="5" t="s">
        <v>80</v>
      </c>
      <c r="C24" s="6" t="s">
        <v>76</v>
      </c>
      <c r="D24" s="7"/>
      <c r="E24" s="7"/>
      <c r="F24" s="7">
        <v>30000</v>
      </c>
      <c r="G24" s="8" t="s">
        <v>77</v>
      </c>
      <c r="H24" s="7"/>
      <c r="I24" s="7"/>
      <c r="J24" s="7"/>
      <c r="K24" s="7"/>
      <c r="L24" s="7"/>
      <c r="M24" s="7"/>
      <c r="N24" s="7"/>
      <c r="O24" s="7">
        <f t="shared" si="1"/>
        <v>30000</v>
      </c>
      <c r="P24" s="9"/>
    </row>
    <row r="25" spans="1:16" ht="23.1" customHeight="1" x14ac:dyDescent="0.3">
      <c r="A25" s="5" t="s">
        <v>74</v>
      </c>
      <c r="B25" s="5" t="s">
        <v>81</v>
      </c>
      <c r="C25" s="6" t="s">
        <v>76</v>
      </c>
      <c r="D25" s="7"/>
      <c r="E25" s="7"/>
      <c r="F25" s="7">
        <v>18000</v>
      </c>
      <c r="G25" s="8" t="s">
        <v>77</v>
      </c>
      <c r="H25" s="7"/>
      <c r="I25" s="7"/>
      <c r="J25" s="7"/>
      <c r="K25" s="7"/>
      <c r="L25" s="7"/>
      <c r="M25" s="7"/>
      <c r="N25" s="7"/>
      <c r="O25" s="7">
        <f t="shared" si="1"/>
        <v>18000</v>
      </c>
      <c r="P25" s="9"/>
    </row>
    <row r="26" spans="1:16" ht="23.1" customHeight="1" x14ac:dyDescent="0.3">
      <c r="A26" s="5" t="s">
        <v>74</v>
      </c>
      <c r="B26" s="5" t="s">
        <v>82</v>
      </c>
      <c r="C26" s="6" t="s">
        <v>76</v>
      </c>
      <c r="D26" s="7"/>
      <c r="E26" s="7"/>
      <c r="F26" s="7">
        <v>35000</v>
      </c>
      <c r="G26" s="8" t="s">
        <v>77</v>
      </c>
      <c r="H26" s="7"/>
      <c r="I26" s="7"/>
      <c r="J26" s="7"/>
      <c r="K26" s="7"/>
      <c r="L26" s="7"/>
      <c r="M26" s="7"/>
      <c r="N26" s="7"/>
      <c r="O26" s="7">
        <f t="shared" si="1"/>
        <v>35000</v>
      </c>
      <c r="P26" s="9"/>
    </row>
    <row r="27" spans="1:16" ht="23.1" customHeight="1" x14ac:dyDescent="0.3">
      <c r="A27" s="5" t="s">
        <v>74</v>
      </c>
      <c r="B27" s="5" t="s">
        <v>83</v>
      </c>
      <c r="C27" s="6" t="s">
        <v>76</v>
      </c>
      <c r="D27" s="7"/>
      <c r="E27" s="7"/>
      <c r="F27" s="7">
        <v>50000</v>
      </c>
      <c r="G27" s="8" t="s">
        <v>77</v>
      </c>
      <c r="H27" s="7"/>
      <c r="I27" s="7"/>
      <c r="J27" s="7"/>
      <c r="K27" s="7"/>
      <c r="L27" s="7"/>
      <c r="M27" s="7"/>
      <c r="N27" s="7"/>
      <c r="O27" s="7">
        <f t="shared" si="1"/>
        <v>50000</v>
      </c>
      <c r="P27" s="9"/>
    </row>
    <row r="28" spans="1:16" ht="23.1" customHeight="1" x14ac:dyDescent="0.3">
      <c r="A28" s="5" t="s">
        <v>84</v>
      </c>
      <c r="B28" s="5" t="s">
        <v>85</v>
      </c>
      <c r="C28" s="6" t="s">
        <v>32</v>
      </c>
      <c r="D28" s="7"/>
      <c r="E28" s="7"/>
      <c r="F28" s="7">
        <v>5748</v>
      </c>
      <c r="G28" s="8" t="s">
        <v>86</v>
      </c>
      <c r="H28" s="7"/>
      <c r="I28" s="7">
        <v>4720</v>
      </c>
      <c r="J28" s="8" t="s">
        <v>87</v>
      </c>
      <c r="K28" s="7">
        <v>5805</v>
      </c>
      <c r="L28" s="8" t="s">
        <v>88</v>
      </c>
      <c r="M28" s="7"/>
      <c r="N28" s="7"/>
      <c r="O28" s="7">
        <f>I28</f>
        <v>4720</v>
      </c>
      <c r="P28" s="5" t="s">
        <v>89</v>
      </c>
    </row>
    <row r="29" spans="1:16" ht="23.1" customHeight="1" x14ac:dyDescent="0.3">
      <c r="A29" s="5" t="s">
        <v>90</v>
      </c>
      <c r="B29" s="5" t="s">
        <v>91</v>
      </c>
      <c r="C29" s="6" t="s">
        <v>92</v>
      </c>
      <c r="D29" s="7"/>
      <c r="E29" s="7"/>
      <c r="F29" s="7"/>
      <c r="G29" s="7"/>
      <c r="H29" s="7"/>
      <c r="I29" s="7"/>
      <c r="J29" s="7"/>
      <c r="K29" s="7"/>
      <c r="L29" s="7"/>
      <c r="M29" s="7">
        <v>217517</v>
      </c>
      <c r="N29" s="7"/>
      <c r="O29" s="7">
        <v>222738</v>
      </c>
      <c r="P29" s="9"/>
    </row>
    <row r="30" spans="1:16" ht="23.1" customHeight="1" x14ac:dyDescent="0.3">
      <c r="A30" s="5" t="s">
        <v>93</v>
      </c>
      <c r="B30" s="5" t="s">
        <v>91</v>
      </c>
      <c r="C30" s="6" t="s">
        <v>92</v>
      </c>
      <c r="D30" s="7">
        <v>208140</v>
      </c>
      <c r="E30" s="7"/>
      <c r="F30" s="7"/>
      <c r="G30" s="7"/>
      <c r="H30" s="7"/>
      <c r="I30" s="7"/>
      <c r="J30" s="7"/>
      <c r="K30" s="7"/>
      <c r="L30" s="7"/>
      <c r="M30" s="7">
        <v>202472</v>
      </c>
      <c r="N30" s="7"/>
      <c r="O30" s="7">
        <f t="shared" ref="O30:O35" si="2">D30</f>
        <v>208140</v>
      </c>
      <c r="P30" s="5" t="s">
        <v>94</v>
      </c>
    </row>
    <row r="31" spans="1:16" ht="23.1" customHeight="1" x14ac:dyDescent="0.3">
      <c r="A31" s="5" t="s">
        <v>95</v>
      </c>
      <c r="B31" s="5" t="s">
        <v>91</v>
      </c>
      <c r="C31" s="6" t="s">
        <v>92</v>
      </c>
      <c r="D31" s="7">
        <v>249073</v>
      </c>
      <c r="E31" s="7"/>
      <c r="F31" s="7"/>
      <c r="G31" s="7"/>
      <c r="H31" s="7"/>
      <c r="I31" s="7"/>
      <c r="J31" s="7"/>
      <c r="K31" s="7"/>
      <c r="L31" s="7"/>
      <c r="M31" s="7">
        <v>247897</v>
      </c>
      <c r="N31" s="7"/>
      <c r="O31" s="7">
        <f t="shared" si="2"/>
        <v>249073</v>
      </c>
      <c r="P31" s="9"/>
    </row>
    <row r="32" spans="1:16" ht="23.1" customHeight="1" x14ac:dyDescent="0.3">
      <c r="A32" s="5" t="s">
        <v>96</v>
      </c>
      <c r="B32" s="5" t="s">
        <v>91</v>
      </c>
      <c r="C32" s="6" t="s">
        <v>92</v>
      </c>
      <c r="D32" s="7">
        <v>172698</v>
      </c>
      <c r="E32" s="7"/>
      <c r="F32" s="7"/>
      <c r="G32" s="7"/>
      <c r="H32" s="7"/>
      <c r="I32" s="7"/>
      <c r="J32" s="7"/>
      <c r="K32" s="7"/>
      <c r="L32" s="7"/>
      <c r="M32" s="7">
        <v>172068</v>
      </c>
      <c r="N32" s="7"/>
      <c r="O32" s="7">
        <f t="shared" si="2"/>
        <v>172698</v>
      </c>
      <c r="P32" s="9"/>
    </row>
    <row r="33" spans="1:16" ht="23.1" customHeight="1" x14ac:dyDescent="0.3">
      <c r="A33" s="5" t="s">
        <v>97</v>
      </c>
      <c r="B33" s="5" t="s">
        <v>91</v>
      </c>
      <c r="C33" s="6" t="s">
        <v>92</v>
      </c>
      <c r="D33" s="7">
        <v>223246</v>
      </c>
      <c r="E33" s="7"/>
      <c r="F33" s="7"/>
      <c r="G33" s="7"/>
      <c r="H33" s="7"/>
      <c r="I33" s="7"/>
      <c r="J33" s="7"/>
      <c r="K33" s="7"/>
      <c r="L33" s="7"/>
      <c r="M33" s="7">
        <v>222306</v>
      </c>
      <c r="N33" s="7"/>
      <c r="O33" s="7">
        <f t="shared" si="2"/>
        <v>223246</v>
      </c>
      <c r="P33" s="9"/>
    </row>
    <row r="34" spans="1:16" ht="23.1" customHeight="1" x14ac:dyDescent="0.3">
      <c r="A34" s="5" t="s">
        <v>98</v>
      </c>
      <c r="B34" s="5" t="s">
        <v>99</v>
      </c>
      <c r="C34" s="6" t="s">
        <v>92</v>
      </c>
      <c r="D34" s="7">
        <v>212439</v>
      </c>
      <c r="E34" s="7"/>
      <c r="F34" s="7"/>
      <c r="G34" s="7"/>
      <c r="H34" s="7"/>
      <c r="I34" s="7"/>
      <c r="J34" s="7"/>
      <c r="K34" s="7"/>
      <c r="L34" s="7"/>
      <c r="M34" s="7">
        <v>209131</v>
      </c>
      <c r="N34" s="7"/>
      <c r="O34" s="7">
        <f t="shared" si="2"/>
        <v>212439</v>
      </c>
      <c r="P34" s="9"/>
    </row>
    <row r="35" spans="1:16" ht="23.1" customHeight="1" x14ac:dyDescent="0.3">
      <c r="A35" s="5" t="s">
        <v>100</v>
      </c>
      <c r="B35" s="5" t="s">
        <v>91</v>
      </c>
      <c r="C35" s="6" t="s">
        <v>92</v>
      </c>
      <c r="D35" s="7">
        <v>240042</v>
      </c>
      <c r="E35" s="7"/>
      <c r="F35" s="7"/>
      <c r="G35" s="7"/>
      <c r="H35" s="7"/>
      <c r="I35" s="7"/>
      <c r="J35" s="7"/>
      <c r="K35" s="7"/>
      <c r="L35" s="7"/>
      <c r="M35" s="7">
        <v>238936</v>
      </c>
      <c r="N35" s="7"/>
      <c r="O35" s="7">
        <f t="shared" si="2"/>
        <v>240042</v>
      </c>
      <c r="P35" s="5" t="s">
        <v>101</v>
      </c>
    </row>
    <row r="36" spans="1:16" ht="23.1" customHeight="1" x14ac:dyDescent="0.3">
      <c r="A36" s="5" t="s">
        <v>102</v>
      </c>
      <c r="B36" s="5" t="s">
        <v>103</v>
      </c>
      <c r="C36" s="6" t="s">
        <v>104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>
        <v>140857000</v>
      </c>
      <c r="O36" s="7">
        <f>N36</f>
        <v>140857000</v>
      </c>
      <c r="P36" s="5" t="s">
        <v>105</v>
      </c>
    </row>
    <row r="37" spans="1:16" ht="23.1" customHeight="1" x14ac:dyDescent="0.3">
      <c r="A37" s="5" t="s">
        <v>106</v>
      </c>
      <c r="B37" s="5" t="s">
        <v>107</v>
      </c>
      <c r="C37" s="6" t="s">
        <v>108</v>
      </c>
      <c r="D37" s="7">
        <v>192887</v>
      </c>
      <c r="E37" s="8" t="s">
        <v>109</v>
      </c>
      <c r="F37" s="7">
        <v>192887</v>
      </c>
      <c r="G37" s="8" t="s">
        <v>110</v>
      </c>
      <c r="H37" s="7"/>
      <c r="I37" s="7">
        <v>192887</v>
      </c>
      <c r="J37" s="8" t="s">
        <v>111</v>
      </c>
      <c r="K37" s="7">
        <v>192887</v>
      </c>
      <c r="L37" s="8" t="s">
        <v>112</v>
      </c>
      <c r="M37" s="7"/>
      <c r="N37" s="7"/>
      <c r="O37" s="7">
        <f>K37</f>
        <v>192887</v>
      </c>
      <c r="P37" s="5" t="s">
        <v>113</v>
      </c>
    </row>
    <row r="38" spans="1:16" ht="23.1" customHeight="1" x14ac:dyDescent="0.3">
      <c r="A38" s="9"/>
      <c r="B38" s="9"/>
      <c r="C38" s="10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9"/>
    </row>
    <row r="39" spans="1:16" ht="23.1" customHeight="1" x14ac:dyDescent="0.3">
      <c r="A39" s="9"/>
      <c r="B39" s="9"/>
      <c r="C39" s="10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9"/>
    </row>
    <row r="40" spans="1:16" ht="23.1" customHeight="1" x14ac:dyDescent="0.3">
      <c r="A40" s="9"/>
      <c r="B40" s="9"/>
      <c r="C40" s="10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9"/>
    </row>
    <row r="41" spans="1:16" ht="23.1" customHeight="1" x14ac:dyDescent="0.3">
      <c r="A41" s="9"/>
      <c r="B41" s="9"/>
      <c r="C41" s="10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9"/>
    </row>
    <row r="42" spans="1:16" ht="23.1" customHeight="1" x14ac:dyDescent="0.3">
      <c r="A42" s="9"/>
      <c r="B42" s="9"/>
      <c r="C42" s="10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9"/>
    </row>
    <row r="43" spans="1:16" ht="23.1" customHeight="1" x14ac:dyDescent="0.3">
      <c r="A43" s="9"/>
      <c r="B43" s="9"/>
      <c r="C43" s="10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9"/>
    </row>
    <row r="44" spans="1:16" ht="23.1" customHeight="1" x14ac:dyDescent="0.3">
      <c r="A44" s="9"/>
      <c r="B44" s="9"/>
      <c r="C44" s="10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9"/>
    </row>
    <row r="45" spans="1:16" ht="23.1" customHeight="1" x14ac:dyDescent="0.3">
      <c r="A45" s="9"/>
      <c r="B45" s="9"/>
      <c r="C45" s="10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9"/>
    </row>
    <row r="46" spans="1:16" ht="23.1" customHeight="1" x14ac:dyDescent="0.3">
      <c r="A46" s="9"/>
      <c r="B46" s="9"/>
      <c r="C46" s="10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9"/>
    </row>
    <row r="47" spans="1:16" ht="23.1" customHeight="1" x14ac:dyDescent="0.3">
      <c r="A47" s="9"/>
      <c r="B47" s="9"/>
      <c r="C47" s="10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9"/>
    </row>
    <row r="48" spans="1:16" ht="23.1" customHeight="1" x14ac:dyDescent="0.3">
      <c r="A48" s="9"/>
      <c r="B48" s="9"/>
      <c r="C48" s="10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9"/>
    </row>
    <row r="49" spans="1:16" ht="23.1" customHeight="1" x14ac:dyDescent="0.3">
      <c r="A49" s="9"/>
      <c r="B49" s="9"/>
      <c r="C49" s="10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9"/>
    </row>
    <row r="50" spans="1:16" ht="23.1" customHeight="1" x14ac:dyDescent="0.3">
      <c r="A50" s="9"/>
      <c r="B50" s="9"/>
      <c r="C50" s="10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9"/>
    </row>
    <row r="51" spans="1:16" ht="23.1" customHeight="1" x14ac:dyDescent="0.3">
      <c r="A51" s="9"/>
      <c r="B51" s="9"/>
      <c r="C51" s="10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9"/>
    </row>
    <row r="52" spans="1:16" ht="23.1" customHeight="1" x14ac:dyDescent="0.3">
      <c r="A52" s="9"/>
      <c r="B52" s="9"/>
      <c r="C52" s="10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9"/>
    </row>
  </sheetData>
  <mergeCells count="11">
    <mergeCell ref="K3:L3"/>
    <mergeCell ref="A1:P1"/>
    <mergeCell ref="A2:P2"/>
    <mergeCell ref="A3:A4"/>
    <mergeCell ref="B3:B4"/>
    <mergeCell ref="C3:C4"/>
    <mergeCell ref="O3:O4"/>
    <mergeCell ref="P3:P4"/>
    <mergeCell ref="D3:E3"/>
    <mergeCell ref="F3:G3"/>
    <mergeCell ref="I3:J3"/>
  </mergeCells>
  <phoneticPr fontId="1" type="noConversion"/>
  <conditionalFormatting sqref="A5:P52">
    <cfRule type="containsText" dxfId="1" priority="1" stopIfTrue="1" operator="containsText" text=".">
      <formula>NOT(ISERROR(SEARCH(".",A5)))</formula>
    </cfRule>
    <cfRule type="notContainsText" dxfId="0" priority="2" stopIfTrue="1" operator="notContains" text=".">
      <formula>ISERROR(SEARCH(".",A5))</formula>
    </cfRule>
  </conditionalFormatting>
  <pageMargins left="0.7765515531031062" right="0" top="0.57970115940231881" bottom="0.1388888888888889" header="0.3" footer="0.1388888888888889"/>
  <pageSetup paperSize="9" orientation="landscape" verticalDpi="0" r:id="rId1"/>
  <rowBreaks count="3" manualBreakCount="3">
    <brk id="20" max="16383" man="1"/>
    <brk id="36" max="16383" man="1"/>
    <brk id="52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750C3-039C-4CDC-8B91-3C2A7E6947CF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16</vt:i4>
      </vt:variant>
    </vt:vector>
  </HeadingPairs>
  <TitlesOfParts>
    <vt:vector size="26" baseType="lpstr">
      <vt:lpstr>갑지</vt:lpstr>
      <vt:lpstr>원가계산서</vt:lpstr>
      <vt:lpstr>집계표</vt:lpstr>
      <vt:lpstr>내역서</vt:lpstr>
      <vt:lpstr>일위대가목록</vt:lpstr>
      <vt:lpstr>일위대가표</vt:lpstr>
      <vt:lpstr>중기경비목록</vt:lpstr>
      <vt:lpstr>중기경비</vt:lpstr>
      <vt:lpstr>단가대비표</vt:lpstr>
      <vt:lpstr>Sheet1</vt:lpstr>
      <vt:lpstr>내역서!Print_Area</vt:lpstr>
      <vt:lpstr>단가대비표!Print_Area</vt:lpstr>
      <vt:lpstr>원가계산서!Print_Area</vt:lpstr>
      <vt:lpstr>일위대가목록!Print_Area</vt:lpstr>
      <vt:lpstr>일위대가표!Print_Area</vt:lpstr>
      <vt:lpstr>중기경비!Print_Area</vt:lpstr>
      <vt:lpstr>중기경비목록!Print_Area</vt:lpstr>
      <vt:lpstr>집계표!Print_Area</vt:lpstr>
      <vt:lpstr>내역서!Print_Titles</vt:lpstr>
      <vt:lpstr>단가대비표!Print_Titles</vt:lpstr>
      <vt:lpstr>원가계산서!Print_Titles</vt:lpstr>
      <vt:lpstr>일위대가목록!Print_Titles</vt:lpstr>
      <vt:lpstr>일위대가표!Print_Titles</vt:lpstr>
      <vt:lpstr>중기경비!Print_Titles</vt:lpstr>
      <vt:lpstr>중기경비목록!Print_Titles</vt:lpstr>
      <vt:lpstr>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dcterms:created xsi:type="dcterms:W3CDTF">2026-09-17T05:19:12Z</dcterms:created>
  <dcterms:modified xsi:type="dcterms:W3CDTF">2026-09-22T06:59:22Z</dcterms:modified>
</cp:coreProperties>
</file>