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user1\Desktop\이욱기\★진행중인 계약건\송창성\잠실 저온창고 환경개선 및 비상관리시스템 구축(전기) 공사 발주 의뢰_수정외3\"/>
    </mc:Choice>
  </mc:AlternateContent>
  <xr:revisionPtr revIDLastSave="0" documentId="8_{3C22CD84-42D8-4CD6-BC15-ACAD51D27A00}" xr6:coauthVersionLast="47" xr6:coauthVersionMax="47" xr10:uidLastSave="{00000000-0000-0000-0000-000000000000}"/>
  <bookViews>
    <workbookView xWindow="28680" yWindow="-120" windowWidth="29040" windowHeight="15720" activeTab="7" xr2:uid="{6AD2B1DC-7B0A-43AC-A8D3-6A685C89FC67}"/>
  </bookViews>
  <sheets>
    <sheet name="원가" sheetId="15" r:id="rId1"/>
    <sheet name="재해예방" sheetId="16" state="hidden" r:id="rId2"/>
    <sheet name="한전" sheetId="17" state="hidden" r:id="rId3"/>
    <sheet name="전기자동차" sheetId="18" state="hidden" r:id="rId4"/>
    <sheet name="태양광" sheetId="19" state="hidden" r:id="rId5"/>
    <sheet name="고자재" sheetId="20" state="hidden" r:id="rId6"/>
    <sheet name="공종별집계표" sheetId="13" r:id="rId7"/>
    <sheet name="공종별내역서" sheetId="12" r:id="rId8"/>
    <sheet name="공량산출근거서" sheetId="6" state="hidden" r:id="rId9"/>
    <sheet name="공량설정" sheetId="5" state="hidden" r:id="rId10"/>
    <sheet name=" 공사설정 " sheetId="2" state="hidden" r:id="rId11"/>
    <sheet name="Sheet1" sheetId="1" state="hidden" r:id="rId12"/>
  </sheets>
  <definedNames>
    <definedName name="_Fill" localSheetId="1" hidden="1">#REF!</definedName>
    <definedName name="_Fill" localSheetId="3" hidden="1">#REF!</definedName>
    <definedName name="_Fill" localSheetId="4" hidden="1">#REF!</definedName>
    <definedName name="_Fill" localSheetId="2" hidden="1">#REF!</definedName>
    <definedName name="_Fill" hidden="1">#REF!</definedName>
    <definedName name="_Key1" localSheetId="1" hidden="1">#REF!</definedName>
    <definedName name="_Key1" localSheetId="3" hidden="1">#REF!</definedName>
    <definedName name="_Key1" localSheetId="4" hidden="1">#REF!</definedName>
    <definedName name="_Key1" localSheetId="2" hidden="1">#REF!</definedName>
    <definedName name="_Key1" hidden="1">#REF!</definedName>
    <definedName name="_Key2" localSheetId="1" hidden="1">#REF!</definedName>
    <definedName name="_Key2" localSheetId="3" hidden="1">#REF!</definedName>
    <definedName name="_Key2" localSheetId="4" hidden="1">#REF!</definedName>
    <definedName name="_Key2" localSheetId="2" hidden="1">#REF!</definedName>
    <definedName name="_Key2" hidden="1">#REF!</definedName>
    <definedName name="_Order1" hidden="1">255</definedName>
    <definedName name="_Order2" hidden="1">255</definedName>
    <definedName name="_Sort" localSheetId="1" hidden="1">#REF!</definedName>
    <definedName name="_Sort" localSheetId="3" hidden="1">#REF!</definedName>
    <definedName name="_Sort" localSheetId="4" hidden="1">#REF!</definedName>
    <definedName name="_Sort" localSheetId="2" hidden="1">#REF!</definedName>
    <definedName name="_Sort" hidden="1">#REF!</definedName>
    <definedName name="_xlnm.Print_Area" localSheetId="5">고자재!$A$1:$M$15</definedName>
    <definedName name="_xlnm.Print_Area" localSheetId="7">공종별내역서!$A$1:$M$147</definedName>
    <definedName name="_xlnm.Print_Area" localSheetId="6">공종별집계표!$A$1:$M$27</definedName>
    <definedName name="_xlnm.Print_Area" localSheetId="0">원가!$A$1:$H$38</definedName>
    <definedName name="_xlnm.Print_Area" localSheetId="1">재해예방!$A$1:$F$45</definedName>
    <definedName name="_xlnm.Print_Area" localSheetId="3">전기자동차!$A$1:$K$48</definedName>
    <definedName name="_xlnm.Print_Area" localSheetId="4">태양광!$B$1:$K$24</definedName>
    <definedName name="_xlnm.Print_Area" localSheetId="2">한전!$B$1:$K$47</definedName>
    <definedName name="_xlnm.Print_Titles" localSheetId="5">고자재!$1:$4</definedName>
    <definedName name="_xlnm.Print_Titles" localSheetId="8">공량산출근거서!$1:$3</definedName>
    <definedName name="_xlnm.Print_Titles" localSheetId="7">공종별내역서!$1:$3</definedName>
    <definedName name="_xlnm.Print_Titles" localSheetId="6">공종별집계표!$1:$4</definedName>
    <definedName name="인쇄영역1" localSheetId="1">#REF!</definedName>
    <definedName name="인쇄영역1" localSheetId="3">#REF!</definedName>
    <definedName name="인쇄영역1" localSheetId="4">#REF!</definedName>
    <definedName name="인쇄영역1" localSheetId="2">#REF!</definedName>
    <definedName name="인쇄영역1">#REF!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I14" i="20" l="1"/>
  <c r="K14" i="20" s="1"/>
  <c r="G14" i="20"/>
  <c r="I13" i="20"/>
  <c r="K13" i="20" s="1"/>
  <c r="G13" i="20"/>
  <c r="I12" i="20"/>
  <c r="K12" i="20" s="1"/>
  <c r="G12" i="20"/>
  <c r="I11" i="20"/>
  <c r="K11" i="20" s="1"/>
  <c r="G11" i="20"/>
  <c r="I10" i="20"/>
  <c r="K10" i="20" s="1"/>
  <c r="G10" i="20"/>
  <c r="F9" i="19"/>
  <c r="A9" i="19"/>
  <c r="B8" i="19"/>
  <c r="A8" i="19"/>
  <c r="E8" i="19" s="1"/>
  <c r="E28" i="18"/>
  <c r="G27" i="18"/>
  <c r="I27" i="18" s="1"/>
  <c r="E27" i="18"/>
  <c r="F27" i="18" s="1"/>
  <c r="D26" i="18"/>
  <c r="B26" i="18"/>
  <c r="AC22" i="18"/>
  <c r="AB22" i="18"/>
  <c r="P9" i="18"/>
  <c r="E7" i="18"/>
  <c r="F7" i="18" s="1"/>
  <c r="B5" i="18"/>
  <c r="E5" i="18" s="1"/>
  <c r="G5" i="18" s="1"/>
  <c r="G4" i="18"/>
  <c r="J4" i="18" s="1"/>
  <c r="F4" i="18"/>
  <c r="E4" i="18"/>
  <c r="B4" i="18"/>
  <c r="B174" i="17"/>
  <c r="I151" i="17"/>
  <c r="I150" i="17"/>
  <c r="H152" i="17" s="1"/>
  <c r="J140" i="17"/>
  <c r="L138" i="17"/>
  <c r="H138" i="17" s="1"/>
  <c r="K137" i="17"/>
  <c r="J137" i="17"/>
  <c r="H137" i="17"/>
  <c r="G137" i="17"/>
  <c r="C137" i="17"/>
  <c r="K136" i="17"/>
  <c r="J136" i="17"/>
  <c r="H136" i="17"/>
  <c r="G136" i="17"/>
  <c r="C136" i="17"/>
  <c r="K135" i="17"/>
  <c r="J135" i="17"/>
  <c r="H135" i="17"/>
  <c r="G135" i="17"/>
  <c r="C135" i="17"/>
  <c r="K134" i="17"/>
  <c r="J134" i="17"/>
  <c r="H134" i="17"/>
  <c r="G134" i="17"/>
  <c r="C134" i="17"/>
  <c r="M133" i="17"/>
  <c r="K133" i="17" s="1"/>
  <c r="H133" i="17"/>
  <c r="G133" i="17"/>
  <c r="C133" i="17"/>
  <c r="H126" i="17"/>
  <c r="H127" i="17" s="1"/>
  <c r="B123" i="17"/>
  <c r="B148" i="17" s="1"/>
  <c r="G100" i="17"/>
  <c r="G101" i="17" s="1"/>
  <c r="C100" i="17"/>
  <c r="C99" i="17" s="1"/>
  <c r="I86" i="17"/>
  <c r="I85" i="17"/>
  <c r="J75" i="17"/>
  <c r="F75" i="17"/>
  <c r="F77" i="17" s="1"/>
  <c r="G77" i="17" s="1"/>
  <c r="H79" i="17" s="1"/>
  <c r="C75" i="17"/>
  <c r="H75" i="17" s="1"/>
  <c r="B75" i="17"/>
  <c r="J74" i="17"/>
  <c r="F74" i="17"/>
  <c r="C74" i="17"/>
  <c r="B74" i="17"/>
  <c r="E73" i="17"/>
  <c r="C73" i="17"/>
  <c r="C68" i="17"/>
  <c r="C66" i="17"/>
  <c r="B66" i="17"/>
  <c r="C65" i="17"/>
  <c r="B65" i="17"/>
  <c r="C64" i="17"/>
  <c r="B64" i="17"/>
  <c r="C63" i="17"/>
  <c r="B63" i="17"/>
  <c r="H55" i="17"/>
  <c r="C54" i="17"/>
  <c r="A54" i="17"/>
  <c r="F54" i="17" s="1"/>
  <c r="G54" i="17" s="1"/>
  <c r="C53" i="17"/>
  <c r="A53" i="17"/>
  <c r="C52" i="17"/>
  <c r="A52" i="17"/>
  <c r="F52" i="17" s="1"/>
  <c r="G52" i="17" s="1"/>
  <c r="C51" i="17"/>
  <c r="A51" i="17"/>
  <c r="C43" i="17"/>
  <c r="B43" i="17"/>
  <c r="C42" i="17"/>
  <c r="B42" i="17"/>
  <c r="E28" i="17"/>
  <c r="D28" i="17"/>
  <c r="C28" i="17"/>
  <c r="N39" i="17" s="1"/>
  <c r="B28" i="17"/>
  <c r="E31" i="17" s="1"/>
  <c r="A10" i="17"/>
  <c r="F10" i="17" s="1"/>
  <c r="A9" i="17"/>
  <c r="A8" i="17"/>
  <c r="H5" i="17"/>
  <c r="A5" i="17"/>
  <c r="F7" i="17" s="1"/>
  <c r="F42" i="16"/>
  <c r="F41" i="16"/>
  <c r="E36" i="16"/>
  <c r="E39" i="16" s="1"/>
  <c r="D36" i="16"/>
  <c r="D39" i="16" s="1"/>
  <c r="C36" i="16"/>
  <c r="C39" i="16" s="1"/>
  <c r="C41" i="16" s="1"/>
  <c r="B36" i="16"/>
  <c r="B39" i="16" s="1"/>
  <c r="J3" i="16"/>
  <c r="D37" i="15"/>
  <c r="C36" i="15"/>
  <c r="F30" i="15"/>
  <c r="F26" i="15"/>
  <c r="F25" i="15"/>
  <c r="F22" i="15"/>
  <c r="C22" i="15"/>
  <c r="F21" i="15"/>
  <c r="C21" i="15"/>
  <c r="F20" i="15"/>
  <c r="C20" i="15"/>
  <c r="F19" i="15"/>
  <c r="C19" i="15"/>
  <c r="F18" i="15"/>
  <c r="C18" i="15"/>
  <c r="F17" i="15"/>
  <c r="C17" i="15"/>
  <c r="F16" i="15"/>
  <c r="C16" i="15"/>
  <c r="F15" i="15"/>
  <c r="C15" i="15"/>
  <c r="F14" i="15"/>
  <c r="C14" i="15"/>
  <c r="F13" i="15"/>
  <c r="C13" i="15"/>
  <c r="C12" i="15"/>
  <c r="F10" i="15"/>
  <c r="C10" i="15"/>
  <c r="K19" i="13"/>
  <c r="J19" i="13"/>
  <c r="H19" i="13"/>
  <c r="F19" i="13"/>
  <c r="L19" i="13" s="1"/>
  <c r="K18" i="13"/>
  <c r="J18" i="13"/>
  <c r="H18" i="13"/>
  <c r="F18" i="13"/>
  <c r="K17" i="13"/>
  <c r="J17" i="13"/>
  <c r="H17" i="13"/>
  <c r="F17" i="13"/>
  <c r="L17" i="13" s="1"/>
  <c r="K14" i="13"/>
  <c r="J14" i="13"/>
  <c r="H14" i="13"/>
  <c r="F14" i="13"/>
  <c r="L14" i="13" s="1"/>
  <c r="I13" i="13"/>
  <c r="J13" i="13" s="1"/>
  <c r="G13" i="13"/>
  <c r="H13" i="13" s="1"/>
  <c r="E13" i="13"/>
  <c r="K13" i="13" s="1"/>
  <c r="E30" i="15" l="1"/>
  <c r="C6" i="20"/>
  <c r="F6" i="20" s="1"/>
  <c r="K6" i="20" s="1"/>
  <c r="A4" i="16"/>
  <c r="L3" i="16"/>
  <c r="H74" i="17"/>
  <c r="H77" i="17" s="1"/>
  <c r="F78" i="17" s="1"/>
  <c r="G78" i="17" s="1"/>
  <c r="C140" i="17"/>
  <c r="C145" i="17" s="1"/>
  <c r="F8" i="17"/>
  <c r="I16" i="13"/>
  <c r="J16" i="13" s="1"/>
  <c r="G16" i="13"/>
  <c r="H16" i="13" s="1"/>
  <c r="F28" i="18"/>
  <c r="E30" i="18"/>
  <c r="F53" i="17"/>
  <c r="G53" i="17" s="1"/>
  <c r="E53" i="17"/>
  <c r="H53" i="17" s="1"/>
  <c r="F51" i="17"/>
  <c r="G51" i="17" s="1"/>
  <c r="E51" i="17"/>
  <c r="H20" i="15"/>
  <c r="H10" i="15"/>
  <c r="A29" i="15"/>
  <c r="E16" i="13"/>
  <c r="G102" i="17"/>
  <c r="H103" i="17"/>
  <c r="B41" i="16"/>
  <c r="B42" i="16" s="1"/>
  <c r="B43" i="16" s="1"/>
  <c r="H51" i="17"/>
  <c r="I5" i="18"/>
  <c r="J5" i="18"/>
  <c r="I10" i="17"/>
  <c r="H10" i="17"/>
  <c r="E9" i="19"/>
  <c r="H9" i="19" s="1"/>
  <c r="I9" i="19" s="1"/>
  <c r="H8" i="19"/>
  <c r="I8" i="19" s="1"/>
  <c r="F9" i="17"/>
  <c r="N42" i="17"/>
  <c r="G74" i="17"/>
  <c r="F4" i="17"/>
  <c r="E52" i="17"/>
  <c r="H52" i="17" s="1"/>
  <c r="E54" i="17"/>
  <c r="H54" i="17" s="1"/>
  <c r="G4" i="17"/>
  <c r="G27" i="17" s="1"/>
  <c r="L143" i="17"/>
  <c r="G7" i="18"/>
  <c r="D41" i="16"/>
  <c r="D42" i="16" s="1"/>
  <c r="D43" i="16" s="1"/>
  <c r="H128" i="17"/>
  <c r="C129" i="17" s="1"/>
  <c r="I4" i="18"/>
  <c r="E41" i="16"/>
  <c r="F28" i="17"/>
  <c r="H28" i="17" s="1"/>
  <c r="N38" i="17"/>
  <c r="G75" i="17"/>
  <c r="C35" i="15"/>
  <c r="C42" i="16"/>
  <c r="C43" i="16" s="1"/>
  <c r="N40" i="17"/>
  <c r="C138" i="17"/>
  <c r="H153" i="17"/>
  <c r="C154" i="17" s="1"/>
  <c r="F5" i="18"/>
  <c r="N41" i="17"/>
  <c r="J133" i="17"/>
  <c r="G138" i="17"/>
  <c r="N43" i="17"/>
  <c r="F13" i="13"/>
  <c r="L18" i="13"/>
  <c r="C4" i="16" l="1"/>
  <c r="L6" i="20"/>
  <c r="L5" i="20" s="1"/>
  <c r="K5" i="20"/>
  <c r="I8" i="17"/>
  <c r="H8" i="17"/>
  <c r="K16" i="13"/>
  <c r="F16" i="13"/>
  <c r="F30" i="18"/>
  <c r="G28" i="18"/>
  <c r="L13" i="13"/>
  <c r="D32" i="15"/>
  <c r="C44" i="16"/>
  <c r="C45" i="16" s="1"/>
  <c r="C9" i="16" s="1"/>
  <c r="D44" i="16"/>
  <c r="D45" i="16" s="1"/>
  <c r="D9" i="16" s="1"/>
  <c r="B44" i="16"/>
  <c r="B45" i="16" s="1"/>
  <c r="B9" i="16" s="1"/>
  <c r="H10" i="19"/>
  <c r="E42" i="16"/>
  <c r="E43" i="16" s="1"/>
  <c r="H56" i="17"/>
  <c r="E8" i="18"/>
  <c r="F8" i="18" s="1"/>
  <c r="I7" i="18"/>
  <c r="A31" i="17"/>
  <c r="M5" i="17"/>
  <c r="F27" i="17"/>
  <c r="H9" i="17"/>
  <c r="I9" i="17" s="1"/>
  <c r="H11" i="17" s="1"/>
  <c r="H78" i="17"/>
  <c r="L16" i="13" l="1"/>
  <c r="D33" i="15"/>
  <c r="G30" i="18"/>
  <c r="I28" i="18"/>
  <c r="H12" i="17"/>
  <c r="H13" i="17" s="1"/>
  <c r="E44" i="16"/>
  <c r="E45" i="16" s="1"/>
  <c r="E9" i="16" s="1"/>
  <c r="B10" i="16"/>
  <c r="B11" i="16"/>
  <c r="D11" i="16"/>
  <c r="D10" i="16"/>
  <c r="H57" i="17"/>
  <c r="H58" i="17" s="1"/>
  <c r="B31" i="17"/>
  <c r="H32" i="17"/>
  <c r="I32" i="17" s="1"/>
  <c r="H31" i="17"/>
  <c r="I31" i="17" s="1"/>
  <c r="C10" i="16"/>
  <c r="C11" i="16"/>
  <c r="H11" i="19"/>
  <c r="H12" i="19"/>
  <c r="G8" i="18"/>
  <c r="H33" i="17" l="1"/>
  <c r="D34" i="15"/>
  <c r="I30" i="18"/>
  <c r="E31" i="18"/>
  <c r="J13" i="17"/>
  <c r="H34" i="17"/>
  <c r="H35" i="17" s="1"/>
  <c r="E11" i="16"/>
  <c r="E10" i="16"/>
  <c r="I8" i="18"/>
  <c r="G9" i="18"/>
  <c r="G31" i="18" l="1"/>
  <c r="I31" i="18" s="1"/>
  <c r="F31" i="18"/>
  <c r="G32" i="18" s="1"/>
  <c r="J9" i="18"/>
  <c r="I9" i="18"/>
  <c r="I32" i="18" l="1"/>
  <c r="I129" i="12" l="1"/>
  <c r="J129" i="12" s="1"/>
  <c r="G129" i="12"/>
  <c r="H129" i="12" s="1"/>
  <c r="E129" i="12"/>
  <c r="I128" i="12"/>
  <c r="J128" i="12" s="1"/>
  <c r="G128" i="12"/>
  <c r="H128" i="12" s="1"/>
  <c r="E128" i="12"/>
  <c r="F128" i="12" s="1"/>
  <c r="I110" i="12"/>
  <c r="J110" i="12" s="1"/>
  <c r="G110" i="12"/>
  <c r="H110" i="12" s="1"/>
  <c r="I109" i="12"/>
  <c r="J109" i="12" s="1"/>
  <c r="G109" i="12"/>
  <c r="H109" i="12" s="1"/>
  <c r="I105" i="12"/>
  <c r="J105" i="12" s="1"/>
  <c r="G105" i="12"/>
  <c r="H105" i="12" s="1"/>
  <c r="I81" i="12"/>
  <c r="J81" i="12" s="1"/>
  <c r="G81" i="12"/>
  <c r="H81" i="12" s="1"/>
  <c r="I80" i="12"/>
  <c r="J80" i="12" s="1"/>
  <c r="G80" i="12"/>
  <c r="H80" i="12" s="1"/>
  <c r="I58" i="12"/>
  <c r="J58" i="12" s="1"/>
  <c r="G58" i="12"/>
  <c r="H58" i="12" s="1"/>
  <c r="I57" i="12"/>
  <c r="J57" i="12" s="1"/>
  <c r="G57" i="12"/>
  <c r="H57" i="12" s="1"/>
  <c r="E57" i="12"/>
  <c r="I30" i="12"/>
  <c r="J30" i="12" s="1"/>
  <c r="G29" i="12"/>
  <c r="H29" i="12" s="1"/>
  <c r="I29" i="12"/>
  <c r="J29" i="12" s="1"/>
  <c r="E110" i="12" l="1"/>
  <c r="K110" i="12" s="1"/>
  <c r="E81" i="12"/>
  <c r="K81" i="12" s="1"/>
  <c r="E109" i="12"/>
  <c r="F109" i="12" s="1"/>
  <c r="L109" i="12" s="1"/>
  <c r="E80" i="12"/>
  <c r="F80" i="12" s="1"/>
  <c r="L80" i="12" s="1"/>
  <c r="E58" i="12"/>
  <c r="F58" i="12" s="1"/>
  <c r="L58" i="12" s="1"/>
  <c r="E105" i="12"/>
  <c r="K105" i="12" s="1"/>
  <c r="G116" i="12"/>
  <c r="H116" i="12" s="1"/>
  <c r="G85" i="12"/>
  <c r="H85" i="12" s="1"/>
  <c r="G60" i="12"/>
  <c r="H60" i="12" s="1"/>
  <c r="G30" i="12"/>
  <c r="H30" i="12" s="1"/>
  <c r="H51" i="12" s="1"/>
  <c r="K129" i="12"/>
  <c r="F129" i="12"/>
  <c r="L129" i="12" s="1"/>
  <c r="F81" i="12"/>
  <c r="L81" i="12" s="1"/>
  <c r="K57" i="12"/>
  <c r="F57" i="12"/>
  <c r="L57" i="12" s="1"/>
  <c r="I60" i="12"/>
  <c r="J60" i="12" s="1"/>
  <c r="I85" i="12"/>
  <c r="J85" i="12" s="1"/>
  <c r="I116" i="12"/>
  <c r="J116" i="12" s="1"/>
  <c r="J51" i="12"/>
  <c r="I103" i="12"/>
  <c r="J103" i="12" s="1"/>
  <c r="I115" i="12"/>
  <c r="J115" i="12" s="1"/>
  <c r="I102" i="12"/>
  <c r="J102" i="12" s="1"/>
  <c r="I125" i="12"/>
  <c r="J125" i="12" s="1"/>
  <c r="I126" i="12"/>
  <c r="J126" i="12" s="1"/>
  <c r="I101" i="12"/>
  <c r="J101" i="12" s="1"/>
  <c r="I54" i="12"/>
  <c r="J54" i="12" s="1"/>
  <c r="I106" i="12"/>
  <c r="J106" i="12" s="1"/>
  <c r="I53" i="12"/>
  <c r="J53" i="12" s="1"/>
  <c r="I111" i="12"/>
  <c r="J111" i="12" s="1"/>
  <c r="I77" i="12"/>
  <c r="J77" i="12" s="1"/>
  <c r="I82" i="12"/>
  <c r="J82" i="12" s="1"/>
  <c r="I104" i="12"/>
  <c r="J104" i="12" s="1"/>
  <c r="I56" i="12"/>
  <c r="J56" i="12" s="1"/>
  <c r="I55" i="12"/>
  <c r="J55" i="12" s="1"/>
  <c r="L128" i="12"/>
  <c r="K128" i="12"/>
  <c r="K109" i="12" l="1"/>
  <c r="K58" i="12"/>
  <c r="K80" i="12"/>
  <c r="F105" i="12"/>
  <c r="L105" i="12" s="1"/>
  <c r="F110" i="12"/>
  <c r="L110" i="12" s="1"/>
  <c r="G125" i="12"/>
  <c r="H125" i="12" s="1"/>
  <c r="G53" i="12"/>
  <c r="H53" i="12" s="1"/>
  <c r="G102" i="12"/>
  <c r="H102" i="12" s="1"/>
  <c r="G55" i="12"/>
  <c r="H55" i="12" s="1"/>
  <c r="G56" i="12"/>
  <c r="H56" i="12" s="1"/>
  <c r="E79" i="12"/>
  <c r="G115" i="12"/>
  <c r="H115" i="12" s="1"/>
  <c r="G103" i="12"/>
  <c r="H103" i="12" s="1"/>
  <c r="I113" i="12"/>
  <c r="J113" i="12" s="1"/>
  <c r="I83" i="12"/>
  <c r="J83" i="12" s="1"/>
  <c r="I59" i="12"/>
  <c r="J59" i="12" s="1"/>
  <c r="J75" i="12" s="1"/>
  <c r="I127" i="12"/>
  <c r="J127" i="12" s="1"/>
  <c r="J147" i="12"/>
  <c r="G126" i="12"/>
  <c r="H126" i="12" s="1"/>
  <c r="G54" i="12"/>
  <c r="H54" i="12" s="1"/>
  <c r="G101" i="12"/>
  <c r="H101" i="12" s="1"/>
  <c r="I112" i="12"/>
  <c r="J112" i="12" s="1"/>
  <c r="J27" i="12"/>
  <c r="G77" i="12"/>
  <c r="H77" i="12" s="1"/>
  <c r="G111" i="12"/>
  <c r="H111" i="12" s="1"/>
  <c r="G104" i="12"/>
  <c r="H104" i="12" s="1"/>
  <c r="G106" i="12"/>
  <c r="H106" i="12" s="1"/>
  <c r="G82" i="12"/>
  <c r="H82" i="12" s="1"/>
  <c r="I114" i="12"/>
  <c r="J114" i="12" s="1"/>
  <c r="I84" i="12"/>
  <c r="J84" i="12" s="1"/>
  <c r="G84" i="12"/>
  <c r="H84" i="12" s="1"/>
  <c r="G114" i="12"/>
  <c r="H114" i="12" s="1"/>
  <c r="I78" i="12"/>
  <c r="J78" i="12" s="1"/>
  <c r="I107" i="12"/>
  <c r="J107" i="12" s="1"/>
  <c r="I79" i="12"/>
  <c r="J79" i="12" s="1"/>
  <c r="I108" i="12"/>
  <c r="J108" i="12" s="1"/>
  <c r="E30" i="12" l="1"/>
  <c r="E29" i="12"/>
  <c r="E108" i="12"/>
  <c r="F108" i="12" s="1"/>
  <c r="J123" i="12"/>
  <c r="G127" i="12"/>
  <c r="H127" i="12" s="1"/>
  <c r="H147" i="12" s="1"/>
  <c r="G113" i="12"/>
  <c r="H113" i="12" s="1"/>
  <c r="G83" i="12"/>
  <c r="H83" i="12" s="1"/>
  <c r="G59" i="12"/>
  <c r="H59" i="12" s="1"/>
  <c r="H75" i="12" s="1"/>
  <c r="G112" i="12"/>
  <c r="H112" i="12" s="1"/>
  <c r="H27" i="12"/>
  <c r="G79" i="12"/>
  <c r="H79" i="12" s="1"/>
  <c r="G108" i="12"/>
  <c r="H108" i="12" s="1"/>
  <c r="F79" i="12"/>
  <c r="J99" i="12"/>
  <c r="G107" i="12"/>
  <c r="H107" i="12" s="1"/>
  <c r="G78" i="12"/>
  <c r="H78" i="12" s="1"/>
  <c r="E56" i="12" l="1"/>
  <c r="K56" i="12" s="1"/>
  <c r="H123" i="12"/>
  <c r="K30" i="12"/>
  <c r="F30" i="12"/>
  <c r="L30" i="12" s="1"/>
  <c r="K29" i="12"/>
  <c r="F29" i="12"/>
  <c r="H99" i="12"/>
  <c r="E115" i="12"/>
  <c r="E116" i="12"/>
  <c r="E85" i="12"/>
  <c r="E60" i="12"/>
  <c r="J27" i="13"/>
  <c r="L79" i="12"/>
  <c r="L108" i="12"/>
  <c r="K108" i="12"/>
  <c r="K79" i="12"/>
  <c r="E55" i="12"/>
  <c r="F56" i="12" l="1"/>
  <c r="L56" i="12" s="1"/>
  <c r="H27" i="13"/>
  <c r="K115" i="12"/>
  <c r="F115" i="12"/>
  <c r="L115" i="12" s="1"/>
  <c r="L29" i="12"/>
  <c r="L51" i="12" s="1"/>
  <c r="F51" i="12"/>
  <c r="K116" i="12"/>
  <c r="F116" i="12"/>
  <c r="L116" i="12" s="1"/>
  <c r="F85" i="12"/>
  <c r="L85" i="12" s="1"/>
  <c r="K85" i="12"/>
  <c r="K60" i="12"/>
  <c r="F60" i="12"/>
  <c r="L60" i="12" s="1"/>
  <c r="F55" i="12"/>
  <c r="L55" i="12" s="1"/>
  <c r="K55" i="12"/>
  <c r="E103" i="12"/>
  <c r="E53" i="12" l="1"/>
  <c r="E102" i="12"/>
  <c r="E101" i="12"/>
  <c r="F101" i="12" s="1"/>
  <c r="L101" i="12" s="1"/>
  <c r="E127" i="12"/>
  <c r="E113" i="12"/>
  <c r="E83" i="12"/>
  <c r="F83" i="12" s="1"/>
  <c r="L83" i="12" s="1"/>
  <c r="E59" i="12"/>
  <c r="F59" i="12" s="1"/>
  <c r="L59" i="12" s="1"/>
  <c r="E82" i="12"/>
  <c r="K82" i="12" s="1"/>
  <c r="E106" i="12"/>
  <c r="F106" i="12" s="1"/>
  <c r="L106" i="12" s="1"/>
  <c r="E104" i="12"/>
  <c r="K104" i="12" s="1"/>
  <c r="E125" i="12"/>
  <c r="E54" i="12"/>
  <c r="K54" i="12" s="1"/>
  <c r="E77" i="12"/>
  <c r="F77" i="12" s="1"/>
  <c r="L77" i="12" s="1"/>
  <c r="E126" i="12"/>
  <c r="F126" i="12" s="1"/>
  <c r="E111" i="12"/>
  <c r="K111" i="12" s="1"/>
  <c r="E78" i="12"/>
  <c r="K78" i="12" s="1"/>
  <c r="E107" i="12"/>
  <c r="F107" i="12" s="1"/>
  <c r="E112" i="12"/>
  <c r="E114" i="12"/>
  <c r="E84" i="12"/>
  <c r="K103" i="12"/>
  <c r="F103" i="12"/>
  <c r="L103" i="12" s="1"/>
  <c r="F113" i="12"/>
  <c r="L113" i="12" s="1"/>
  <c r="K113" i="12"/>
  <c r="F127" i="12"/>
  <c r="L127" i="12" s="1"/>
  <c r="K127" i="12"/>
  <c r="F54" i="12"/>
  <c r="K77" i="12"/>
  <c r="K106" i="12" l="1"/>
  <c r="K126" i="12"/>
  <c r="K83" i="12"/>
  <c r="K101" i="12"/>
  <c r="F82" i="12"/>
  <c r="L82" i="12" s="1"/>
  <c r="F111" i="12"/>
  <c r="L111" i="12" s="1"/>
  <c r="F104" i="12"/>
  <c r="L104" i="12" s="1"/>
  <c r="K59" i="12"/>
  <c r="K107" i="12"/>
  <c r="F78" i="12"/>
  <c r="L78" i="12" s="1"/>
  <c r="K53" i="12"/>
  <c r="F53" i="12"/>
  <c r="L53" i="12" s="1"/>
  <c r="F102" i="12"/>
  <c r="L102" i="12" s="1"/>
  <c r="K102" i="12"/>
  <c r="K125" i="12"/>
  <c r="F125" i="12"/>
  <c r="L125" i="12" s="1"/>
  <c r="K112" i="12"/>
  <c r="F112" i="12"/>
  <c r="L112" i="12" s="1"/>
  <c r="F114" i="12"/>
  <c r="L114" i="12" s="1"/>
  <c r="K114" i="12"/>
  <c r="F84" i="12"/>
  <c r="L84" i="12" s="1"/>
  <c r="K84" i="12"/>
  <c r="L54" i="12"/>
  <c r="L75" i="12" s="1"/>
  <c r="L126" i="12"/>
  <c r="F147" i="12"/>
  <c r="L107" i="12"/>
  <c r="F123" i="12"/>
  <c r="F99" i="12"/>
  <c r="L147" i="12" l="1"/>
  <c r="F75" i="12"/>
  <c r="L99" i="12"/>
  <c r="L123" i="12"/>
  <c r="L27" i="12"/>
  <c r="F27" i="12"/>
  <c r="F27" i="13" l="1"/>
  <c r="L27" i="13" l="1"/>
  <c r="C2" i="15" l="1"/>
  <c r="B2" i="19"/>
  <c r="A2" i="20"/>
  <c r="A2" i="16" l="1"/>
  <c r="A2" i="18"/>
  <c r="A25" i="18" s="1"/>
  <c r="B2" i="17"/>
  <c r="B25" i="17" l="1"/>
  <c r="B98" i="17" s="1"/>
  <c r="B49" i="17"/>
  <c r="B72" i="17"/>
  <c r="E15" i="15" l="1"/>
  <c r="D38" i="15" l="1"/>
  <c r="E29" i="15"/>
  <c r="J2" i="16" l="1"/>
  <c r="K2" i="16" s="1"/>
  <c r="D4" i="16" s="1"/>
  <c r="E4" i="16" s="1"/>
  <c r="C3" i="15"/>
</calcChain>
</file>

<file path=xl/sharedStrings.xml><?xml version="1.0" encoding="utf-8"?>
<sst xmlns="http://schemas.openxmlformats.org/spreadsheetml/2006/main" count="1689" uniqueCount="685">
  <si>
    <t>공 종 별 집 계 표</t>
  </si>
  <si>
    <t>[ 잠사곤충시험장 잠실저장고 환경개선 및 비상관리시스템 구축공사 (전기) ]</t>
  </si>
  <si>
    <t>품      명</t>
  </si>
  <si>
    <t>규      격</t>
  </si>
  <si>
    <t>단위</t>
  </si>
  <si>
    <t>수량</t>
  </si>
  <si>
    <t>재  료  비</t>
  </si>
  <si>
    <t>단  가</t>
  </si>
  <si>
    <t>금  액</t>
  </si>
  <si>
    <t>노  무  비</t>
  </si>
  <si>
    <t>경      비</t>
  </si>
  <si>
    <t>합      계</t>
  </si>
  <si>
    <t>비  고</t>
  </si>
  <si>
    <t>공종코드</t>
  </si>
  <si>
    <t>변수</t>
  </si>
  <si>
    <t>상위공종</t>
  </si>
  <si>
    <t>공종구분</t>
  </si>
  <si>
    <t>공종레벨</t>
  </si>
  <si>
    <t>공종소계</t>
  </si>
  <si>
    <t>원가계산서 연결금액</t>
  </si>
  <si>
    <t>품목코드</t>
  </si>
  <si>
    <t>설정</t>
  </si>
  <si>
    <t>일위</t>
  </si>
  <si>
    <t>단산</t>
  </si>
  <si>
    <t>자재</t>
  </si>
  <si>
    <t>손료적용</t>
  </si>
  <si>
    <t>손료저장</t>
  </si>
  <si>
    <t>적용율</t>
  </si>
  <si>
    <t>JUK1</t>
  </si>
  <si>
    <t>JUK2</t>
  </si>
  <si>
    <t>JUK3</t>
  </si>
  <si>
    <t>JUK4</t>
  </si>
  <si>
    <t>JUK5</t>
  </si>
  <si>
    <t>JUK6</t>
  </si>
  <si>
    <t>JUK7</t>
  </si>
  <si>
    <t>JUK8</t>
  </si>
  <si>
    <t>JUK9</t>
  </si>
  <si>
    <t>JUK10</t>
  </si>
  <si>
    <t>JUK11</t>
  </si>
  <si>
    <t>JUK12</t>
  </si>
  <si>
    <t>JUK13</t>
  </si>
  <si>
    <t>JUK14</t>
  </si>
  <si>
    <t>JUK15</t>
  </si>
  <si>
    <t>JUK16</t>
  </si>
  <si>
    <t>JUK17</t>
  </si>
  <si>
    <t>JUK18</t>
  </si>
  <si>
    <t>JUK19</t>
  </si>
  <si>
    <t>JUK20</t>
  </si>
  <si>
    <t>자재구분</t>
  </si>
  <si>
    <t>공종+자재</t>
  </si>
  <si>
    <t>고유번호</t>
  </si>
  <si>
    <t/>
  </si>
  <si>
    <t>01</t>
  </si>
  <si>
    <t>0101  전력간선공사</t>
  </si>
  <si>
    <t>0101</t>
  </si>
  <si>
    <t>절연전선및피복선</t>
  </si>
  <si>
    <t>접지용비닐절연전선, FGV, 6㎟</t>
  </si>
  <si>
    <t>m</t>
  </si>
  <si>
    <t>455974957E22E9B688961709E5C09</t>
  </si>
  <si>
    <t>T</t>
  </si>
  <si>
    <t>F</t>
  </si>
  <si>
    <t>0101455974957E22E9B688961709E5C09</t>
  </si>
  <si>
    <t>전력케이블</t>
  </si>
  <si>
    <t>600V폴리에틸렌케이블, 0.6/1kV, FCV, 2C×6㎟</t>
  </si>
  <si>
    <t>455974957E22E9B688961709E5A5B</t>
  </si>
  <si>
    <t>0101455974957E22E9B688961709E5A5B</t>
  </si>
  <si>
    <t>무정전전원장치</t>
  </si>
  <si>
    <t>1Φ2W 3KW</t>
  </si>
  <si>
    <t>식</t>
  </si>
  <si>
    <t>455974957E22E9B688961709E5787</t>
  </si>
  <si>
    <t>0101455974957E22E9B688961709E5787</t>
  </si>
  <si>
    <t>분전반</t>
  </si>
  <si>
    <t>L-U</t>
  </si>
  <si>
    <t>면</t>
  </si>
  <si>
    <t>455974957E22E9B688961709F6528</t>
  </si>
  <si>
    <t>0101455974957E22E9B688961709F6528</t>
  </si>
  <si>
    <t>L-F</t>
  </si>
  <si>
    <t>455974957E22E9B688961709F6401</t>
  </si>
  <si>
    <t>0101455974957E22E9B688961709F6401</t>
  </si>
  <si>
    <t>나사없는 전선관 커플링</t>
  </si>
  <si>
    <t>E 31</t>
  </si>
  <si>
    <t>개</t>
  </si>
  <si>
    <t>42FA74526F826912C28BA70A66509760154A1</t>
  </si>
  <si>
    <t>010142FA74526F826912C28BA70A66509760154A1</t>
  </si>
  <si>
    <t>나사 없는 전선관</t>
  </si>
  <si>
    <t>E31</t>
  </si>
  <si>
    <t>M</t>
  </si>
  <si>
    <t>호표 6</t>
  </si>
  <si>
    <t>455974957E22E9B688961709F6D7E</t>
  </si>
  <si>
    <t>0101455974957E22E9B688961709F6D7E</t>
  </si>
  <si>
    <t>배관용 홈파기</t>
  </si>
  <si>
    <t>Ø36mm 이하용</t>
  </si>
  <si>
    <t>45937CCF8F121921E1E6030324BA0</t>
  </si>
  <si>
    <t>010145937CCF8F121921E1E6030324BA0</t>
  </si>
  <si>
    <t>[ 합           계 ]</t>
  </si>
  <si>
    <t>TOTAL</t>
  </si>
  <si>
    <t>0102  철거공사</t>
  </si>
  <si>
    <t>0102</t>
  </si>
  <si>
    <t>분전반 철거</t>
  </si>
  <si>
    <t>호표 8</t>
  </si>
  <si>
    <t>45937CCF83620918B7038F05C34D4</t>
  </si>
  <si>
    <t>010245937CCF83620918B7038F05C34D4</t>
  </si>
  <si>
    <t>형광등 철거</t>
  </si>
  <si>
    <t>FL 32W/2</t>
  </si>
  <si>
    <t>호표 9</t>
  </si>
  <si>
    <t>45937CCF83620918B7038F05C34D6</t>
  </si>
  <si>
    <t>010245937CCF83620918B7038F05C34D6</t>
  </si>
  <si>
    <t>0103  전등설비공사</t>
  </si>
  <si>
    <t>0103</t>
  </si>
  <si>
    <t>450/750V 저독성난연가교폴리올레핀절연전선</t>
  </si>
  <si>
    <t>HFIX, 2.5 ㎟</t>
  </si>
  <si>
    <t>호표 10</t>
  </si>
  <si>
    <t>455974957E22E9B688961709E58AE</t>
  </si>
  <si>
    <t>0103455974957E22E9B688961709E58AE</t>
  </si>
  <si>
    <t>LED 직부등</t>
  </si>
  <si>
    <t>LED 40W</t>
  </si>
  <si>
    <t>호표 11</t>
  </si>
  <si>
    <t>455974957E22E9B688961709E56E0</t>
  </si>
  <si>
    <t>0103455974957E22E9B688961709E56E0</t>
  </si>
  <si>
    <t>스위치박스</t>
  </si>
  <si>
    <t>스위치박스, 1개용, 54mm</t>
  </si>
  <si>
    <t>호표 12</t>
  </si>
  <si>
    <t>455974957E22E9B688961709C9524</t>
  </si>
  <si>
    <t>0103455974957E22E9B688961709C9524</t>
  </si>
  <si>
    <t>아웃렛박스</t>
  </si>
  <si>
    <t>아웃렛박스, 8각, 54mm</t>
  </si>
  <si>
    <t>호표 13</t>
  </si>
  <si>
    <t>455974957E22E9B688961709F60A6</t>
  </si>
  <si>
    <t>0103455974957E22E9B688961709F60A6</t>
  </si>
  <si>
    <t>아웃렛박스, 커버, 8각, 평형</t>
  </si>
  <si>
    <t>42FA74526F826910145A1C095DA0E1327A629</t>
  </si>
  <si>
    <t>010342FA74526F826910145A1C095DA0E1327A629</t>
  </si>
  <si>
    <t>아웃렛박스, 커버, 4각, 1개용S/W, 오목</t>
  </si>
  <si>
    <t>42FA74526F826910145A1C095DA0E1327A62F</t>
  </si>
  <si>
    <t>010342FA74526F826910145A1C095DA0E1327A62F</t>
  </si>
  <si>
    <t>전선관</t>
  </si>
  <si>
    <t>1종금속제가요전선관, 16mm, 비방수</t>
  </si>
  <si>
    <t>호표 14</t>
  </si>
  <si>
    <t>455974957E22E9B688961709F6253</t>
  </si>
  <si>
    <t>0103455974957E22E9B688961709F6253</t>
  </si>
  <si>
    <t>배관용 구멍뚫기(손파기)Con,c</t>
  </si>
  <si>
    <t>두께15cm이하 Ø50mm</t>
  </si>
  <si>
    <t>개소</t>
  </si>
  <si>
    <t>호표 15</t>
  </si>
  <si>
    <t>45937CCF8F121921E1E9D7051A145</t>
  </si>
  <si>
    <t>010345937CCF8F121921E1E9D7051A145</t>
  </si>
  <si>
    <t>0104  전열설비공사</t>
  </si>
  <si>
    <t>0104</t>
  </si>
  <si>
    <t>HFIX, 4 ㎟(전열)</t>
  </si>
  <si>
    <t>호표 16</t>
  </si>
  <si>
    <t>455974957E22E9B688961709C90A2</t>
  </si>
  <si>
    <t>0104455974957E22E9B688961709C90A2</t>
  </si>
  <si>
    <t>호표 17</t>
  </si>
  <si>
    <t>455974957E22E9B688961709F66CE</t>
  </si>
  <si>
    <t>0104455974957E22E9B688961709F66CE</t>
  </si>
  <si>
    <t>스위치박스, 2개용, 54mm</t>
  </si>
  <si>
    <t>호표 18</t>
  </si>
  <si>
    <t>455974957E22E9B688961709F614D</t>
  </si>
  <si>
    <t>0104455974957E22E9B688961709F614D</t>
  </si>
  <si>
    <t>010442FA74526F826910145A1C095DA0E1327A62F</t>
  </si>
  <si>
    <t>아웃렛박스, 커버, 4각, 2개용S/W, 오목</t>
  </si>
  <si>
    <t>42FA74526F826910145A1C095DA0E1327A621</t>
  </si>
  <si>
    <t>010442FA74526F826910145A1C095DA0E1327A621</t>
  </si>
  <si>
    <t>리셉터클</t>
  </si>
  <si>
    <t>콘센트, 2구, 15A, 250V, 매입형, 접지</t>
  </si>
  <si>
    <t>호표 19</t>
  </si>
  <si>
    <t>455974957E22E9B688961709C9377</t>
  </si>
  <si>
    <t>0104455974957E22E9B688961709C9377</t>
  </si>
  <si>
    <t>0104455974957E22E9B688961709F6253</t>
  </si>
  <si>
    <t>전선덕트</t>
  </si>
  <si>
    <t>전선덕트, 알루미늄, 70×40mm</t>
  </si>
  <si>
    <t>호표 20</t>
  </si>
  <si>
    <t>455974957E22E9B688961709F6C57</t>
  </si>
  <si>
    <t>0104455974957E22E9B688961709F6C57</t>
  </si>
  <si>
    <t>010445937CCF8F121921E1E9D7051A145</t>
  </si>
  <si>
    <t>0105  동력설비공사</t>
  </si>
  <si>
    <t>0105</t>
  </si>
  <si>
    <t>접지용비닐절연전선, FGV, 4㎟</t>
  </si>
  <si>
    <t>호표 21</t>
  </si>
  <si>
    <t>455974957E22E9B688961709E5FDD</t>
  </si>
  <si>
    <t>0105455974957E22E9B688961709E5FDD</t>
  </si>
  <si>
    <t>600V폴리에틸렌케이블, 0.6/1kV, FCV, 2C×4㎟</t>
  </si>
  <si>
    <t>호표 22</t>
  </si>
  <si>
    <t>455974957E22E9B688961709E5D2F</t>
  </si>
  <si>
    <t>0105455974957E22E9B688961709E5D2F</t>
  </si>
  <si>
    <t>600V폴리에틸렌케이블, 0.6/1kV, FCV, 4C×4㎟</t>
  </si>
  <si>
    <t>호표 23</t>
  </si>
  <si>
    <t>455974957E22E9B688961709E5B62</t>
  </si>
  <si>
    <t>0105455974957E22E9B688961709E5B62</t>
  </si>
  <si>
    <t>HFIX, 4 ㎟</t>
  </si>
  <si>
    <t>호표 24</t>
  </si>
  <si>
    <t>455974957E22E9B688961709E59B4</t>
  </si>
  <si>
    <t>0105455974957E22E9B688961709E59B4</t>
  </si>
  <si>
    <t>010542FA74526F826912C28BA70A66509760154A1</t>
  </si>
  <si>
    <t>전기함</t>
  </si>
  <si>
    <t>풀박스, HS2003, 100×100×100mm</t>
  </si>
  <si>
    <t>호표 25</t>
  </si>
  <si>
    <t>455974957E22E9B688961709F67D5</t>
  </si>
  <si>
    <t>0105455974957E22E9B688961709F67D5</t>
  </si>
  <si>
    <t>0105455974957E22E9B688961709F66CE</t>
  </si>
  <si>
    <t>0105455974957E22E9B688961709F614D</t>
  </si>
  <si>
    <t>010542FA74526F826910145A1C095DA0E1327A62F</t>
  </si>
  <si>
    <t>010542FA74526F826910145A1C095DA0E1327A621</t>
  </si>
  <si>
    <t>호표 26</t>
  </si>
  <si>
    <t>455974957E22E9B688961709F637A</t>
  </si>
  <si>
    <t>0105455974957E22E9B688961709F637A</t>
  </si>
  <si>
    <t>0105455974957E22E9B688961709F6D7E</t>
  </si>
  <si>
    <t>0105455974957E22E9B688961709F6253</t>
  </si>
  <si>
    <t>0105455974957E22E9B688961709F6C57</t>
  </si>
  <si>
    <t>전선관지지행거(단독)</t>
  </si>
  <si>
    <t>28 C</t>
  </si>
  <si>
    <t>호표 27</t>
  </si>
  <si>
    <t>45937CCF87D2B9296F64C00F16D08</t>
  </si>
  <si>
    <t>010545937CCF87D2B9296F64C00F16D08</t>
  </si>
  <si>
    <t>010545937CCF8F121921E1E9D7051A145</t>
  </si>
  <si>
    <t>0106  통신설비공사</t>
  </si>
  <si>
    <t>0106</t>
  </si>
  <si>
    <t>네트워크케이블</t>
  </si>
  <si>
    <t>UTP Cat. 6, 4P</t>
  </si>
  <si>
    <t>호표 28</t>
  </si>
  <si>
    <t>455974957E22E9B688961709C9149</t>
  </si>
  <si>
    <t>0106455974957E22E9B688961709C9149</t>
  </si>
  <si>
    <t>지중선용 가선철물(통신용)</t>
  </si>
  <si>
    <t>케이블표지시트, 0.23*400</t>
  </si>
  <si>
    <t>호표 29</t>
  </si>
  <si>
    <t>455974957E22E9B688961709C9250</t>
  </si>
  <si>
    <t>0106455974957E22E9B688961709C9250</t>
  </si>
  <si>
    <t>0106455974957E22E9B688961709F6253</t>
  </si>
  <si>
    <t>터파기/토사</t>
  </si>
  <si>
    <t>보통, 굴착기 0.7m3 90%, 인력10%</t>
  </si>
  <si>
    <t>M3</t>
  </si>
  <si>
    <t>산근 1</t>
  </si>
  <si>
    <t>45FA7587807239D867BA530414CD5</t>
  </si>
  <si>
    <t>010645FA7587807239D867BA530414CD5</t>
  </si>
  <si>
    <t>되메우기/토사, 두께 10cm</t>
  </si>
  <si>
    <t>보통, 굴착기 0.7m3+플레이트콤팩터 1.5ton+인력 10%</t>
  </si>
  <si>
    <t>산근 2</t>
  </si>
  <si>
    <t>45FA758A54D249C54EC6E40CC8F33</t>
  </si>
  <si>
    <t>010645FA758A54D249C54EC6E40CC8F33</t>
  </si>
  <si>
    <t>코  드</t>
  </si>
  <si>
    <t>번  호</t>
  </si>
  <si>
    <t>할증</t>
  </si>
  <si>
    <t>A</t>
  </si>
  <si>
    <t>비    고</t>
  </si>
  <si>
    <t>코드</t>
  </si>
  <si>
    <t>C</t>
  </si>
  <si>
    <t>조달청가격</t>
  </si>
  <si>
    <t>거래가격</t>
  </si>
  <si>
    <t>유통물가</t>
  </si>
  <si>
    <t>조사가격1</t>
  </si>
  <si>
    <t>조사가격2</t>
  </si>
  <si>
    <t>B</t>
  </si>
  <si>
    <t>공종명</t>
  </si>
  <si>
    <t>적용율(%)</t>
  </si>
  <si>
    <t>소수점이하자릿수</t>
  </si>
  <si>
    <t>공 량 산 출 근 거 서</t>
  </si>
  <si>
    <t>품 셈 목 록</t>
  </si>
  <si>
    <t>수  량</t>
  </si>
  <si>
    <t>노임할증-1</t>
  </si>
  <si>
    <t>노임할증-2</t>
  </si>
  <si>
    <t>노임할증-3</t>
  </si>
  <si>
    <t>내역수량</t>
  </si>
  <si>
    <t>직  종  명</t>
  </si>
  <si>
    <t>공  량</t>
  </si>
  <si>
    <t>계</t>
  </si>
  <si>
    <t>01 전력간선공사</t>
  </si>
  <si>
    <t>02 철거공사</t>
  </si>
  <si>
    <t>03 전등설비공사</t>
  </si>
  <si>
    <t>04 전열설비공사</t>
  </si>
  <si>
    <t>05 동력설비공사</t>
  </si>
  <si>
    <t>06 통신설비공사</t>
  </si>
  <si>
    <t>이 Sheet는 수정하지 마십시요</t>
  </si>
  <si>
    <t>공사구분</t>
  </si>
  <si>
    <t>D</t>
  </si>
  <si>
    <t>타이틀</t>
  </si>
  <si>
    <t>확정내역</t>
  </si>
  <si>
    <t>원내역</t>
  </si>
  <si>
    <t>자재단가적용</t>
  </si>
  <si>
    <t>경비단가적용</t>
  </si>
  <si>
    <t>품목코드형식</t>
  </si>
  <si>
    <t>XXXX-XXXX-XXXXXXXXX</t>
  </si>
  <si>
    <t>내역금액소수점처리</t>
  </si>
  <si>
    <t>일위대가내역소수점처리</t>
  </si>
  <si>
    <t>단가명</t>
  </si>
  <si>
    <t>TTTTT</t>
  </si>
  <si>
    <t>환율</t>
  </si>
  <si>
    <t>시간당작업량</t>
  </si>
  <si>
    <t>R</t>
  </si>
  <si>
    <t>1회 사이클시간</t>
  </si>
  <si>
    <t>시간당 작업사이클</t>
  </si>
  <si>
    <t>일반변수</t>
  </si>
  <si>
    <t>시간당 노임산출 계수</t>
  </si>
  <si>
    <t>1/8*16/12*25/20</t>
  </si>
  <si>
    <t>재료비 할증 계수</t>
  </si>
  <si>
    <t>노무비 할증 계수</t>
  </si>
  <si>
    <t>경비 할증 계수</t>
  </si>
  <si>
    <t>내역,일위대가 품명,규격,단위 따로적용</t>
  </si>
  <si>
    <t>내역단가 소수점처리</t>
  </si>
  <si>
    <t>단가 순서</t>
  </si>
  <si>
    <t>공종구분명</t>
  </si>
  <si>
    <t>원가비목코드</t>
  </si>
  <si>
    <t>작 업 부 산 물</t>
  </si>
  <si>
    <t>A3</t>
  </si>
  <si>
    <t>운    반    비</t>
  </si>
  <si>
    <t>C1</t>
  </si>
  <si>
    <t>관 급 자 재 비</t>
  </si>
  <si>
    <t>DJ</t>
  </si>
  <si>
    <t>사 급 자 재 비</t>
  </si>
  <si>
    <t>D3</t>
  </si>
  <si>
    <t>외    자    재</t>
  </si>
  <si>
    <t>...</t>
  </si>
  <si>
    <t>....</t>
  </si>
  <si>
    <t>.....</t>
  </si>
  <si>
    <t>E</t>
  </si>
  <si>
    <t>G</t>
  </si>
  <si>
    <t>H</t>
  </si>
  <si>
    <t>I</t>
  </si>
  <si>
    <t>J</t>
  </si>
  <si>
    <t>02  잠사곤충시험장 잠실저온창고 환경개선 및 비상관리시스템 구축공사 (전기)-관급자관급</t>
    <phoneticPr fontId="1" type="noConversion"/>
  </si>
  <si>
    <t>0201  CCTV</t>
    <phoneticPr fontId="1" type="noConversion"/>
  </si>
  <si>
    <t>02  잠사곤충시험장 잠실저온창고 환경개선 및 비상관리시스템 구축공사 (전기)-도급자관급</t>
  </si>
  <si>
    <t>0201  분전반</t>
    <phoneticPr fontId="1" type="noConversion"/>
  </si>
  <si>
    <t>0202  조명기구</t>
    <phoneticPr fontId="1" type="noConversion"/>
  </si>
  <si>
    <t>0103  무정전전원장치</t>
    <phoneticPr fontId="1" type="noConversion"/>
  </si>
  <si>
    <t>공   사   원   가   계   산   서</t>
    <phoneticPr fontId="8" type="noConversion"/>
  </si>
  <si>
    <t>원가계산서</t>
    <phoneticPr fontId="8" type="noConversion"/>
  </si>
  <si>
    <t>공사기간</t>
    <phoneticPr fontId="1" type="noConversion"/>
  </si>
  <si>
    <t>[ 공 사 명 ]</t>
    <phoneticPr fontId="12" type="noConversion"/>
  </si>
  <si>
    <t>[ 공사금액 ]</t>
    <phoneticPr fontId="8" type="noConversion"/>
  </si>
  <si>
    <t xml:space="preserve">       금          액</t>
    <phoneticPr fontId="14" type="noConversion"/>
  </si>
  <si>
    <t>구      성      비</t>
    <phoneticPr fontId="14" type="noConversion"/>
  </si>
  <si>
    <t xml:space="preserve">             비       고</t>
    <phoneticPr fontId="14" type="noConversion"/>
  </si>
  <si>
    <t>재</t>
    <phoneticPr fontId="14" type="noConversion"/>
  </si>
  <si>
    <t>직   접   재   료   비</t>
    <phoneticPr fontId="14" type="noConversion"/>
  </si>
  <si>
    <t>료</t>
    <phoneticPr fontId="14" type="noConversion"/>
  </si>
  <si>
    <t>간   접   재   료   비</t>
    <phoneticPr fontId="14" type="noConversion"/>
  </si>
  <si>
    <t>순</t>
    <phoneticPr fontId="12" type="noConversion"/>
  </si>
  <si>
    <t>비</t>
    <phoneticPr fontId="14" type="noConversion"/>
  </si>
  <si>
    <t>작 업 설.부 산 물 등(△)</t>
    <phoneticPr fontId="14" type="noConversion"/>
  </si>
  <si>
    <t>소                  계</t>
    <phoneticPr fontId="14" type="noConversion"/>
  </si>
  <si>
    <t>노</t>
    <phoneticPr fontId="14" type="noConversion"/>
  </si>
  <si>
    <t>직   접   노   무   비</t>
    <phoneticPr fontId="14" type="noConversion"/>
  </si>
  <si>
    <t>공</t>
    <phoneticPr fontId="12" type="noConversion"/>
  </si>
  <si>
    <t>무</t>
    <phoneticPr fontId="14" type="noConversion"/>
  </si>
  <si>
    <t xml:space="preserve">직접노무비 의 </t>
    <phoneticPr fontId="14" type="noConversion"/>
  </si>
  <si>
    <t>%</t>
    <phoneticPr fontId="14" type="noConversion"/>
  </si>
  <si>
    <t xml:space="preserve">   소                  계</t>
    <phoneticPr fontId="14" type="noConversion"/>
  </si>
  <si>
    <t>사</t>
    <phoneticPr fontId="12" type="noConversion"/>
  </si>
  <si>
    <t>노무비의</t>
    <phoneticPr fontId="14" type="noConversion"/>
  </si>
  <si>
    <t>%</t>
    <phoneticPr fontId="8" type="noConversion"/>
  </si>
  <si>
    <t>금액</t>
    <phoneticPr fontId="1" type="noConversion"/>
  </si>
  <si>
    <t>구분</t>
    <phoneticPr fontId="1" type="noConversion"/>
  </si>
  <si>
    <t>경</t>
    <phoneticPr fontId="14" type="noConversion"/>
  </si>
  <si>
    <t>공사금액[도급+관급(도급자)]2천만원이상</t>
  </si>
  <si>
    <t>원</t>
    <phoneticPr fontId="12" type="noConversion"/>
  </si>
  <si>
    <t>공사기간 : 1개월 이상 모든공사</t>
    <phoneticPr fontId="1" type="noConversion"/>
  </si>
  <si>
    <t>건강보험료 의</t>
    <phoneticPr fontId="14" type="noConversion"/>
  </si>
  <si>
    <t>비</t>
    <phoneticPr fontId="8" type="noConversion"/>
  </si>
  <si>
    <t>가</t>
    <phoneticPr fontId="12" type="noConversion"/>
  </si>
  <si>
    <t>추정금액 1억원이상 건설공사</t>
    <phoneticPr fontId="1" type="noConversion"/>
  </si>
  <si>
    <t>(재료비+노무비)의</t>
    <phoneticPr fontId="14" type="noConversion"/>
  </si>
  <si>
    <t>계(재료비+노무비+경비)</t>
    <phoneticPr fontId="12" type="noConversion"/>
  </si>
  <si>
    <t>일 반 관 리 비</t>
    <phoneticPr fontId="8" type="noConversion"/>
  </si>
  <si>
    <t>[(재료비+노무비+경비)]의</t>
    <phoneticPr fontId="8" type="noConversion"/>
  </si>
  <si>
    <t>이          윤</t>
    <phoneticPr fontId="8" type="noConversion"/>
  </si>
  <si>
    <t>[(노무비+경비+일반관리비)]의</t>
    <phoneticPr fontId="8" type="noConversion"/>
  </si>
  <si>
    <t>고 자 재 처 리 비</t>
    <phoneticPr fontId="8" type="noConversion"/>
  </si>
  <si>
    <t>철거 자재 (케이블 등)</t>
    <phoneticPr fontId="1" type="noConversion"/>
  </si>
  <si>
    <t>부 가 가 치 세</t>
    <phoneticPr fontId="8" type="noConversion"/>
  </si>
  <si>
    <t>%</t>
    <phoneticPr fontId="12" type="noConversion"/>
  </si>
  <si>
    <t>부가가치세</t>
    <phoneticPr fontId="8" type="noConversion"/>
  </si>
  <si>
    <t>도 급 예 정 액</t>
    <phoneticPr fontId="8" type="noConversion"/>
  </si>
  <si>
    <t>계수정리</t>
    <phoneticPr fontId="12" type="noConversion"/>
  </si>
  <si>
    <t>관 급 자 재 비</t>
    <phoneticPr fontId="8" type="noConversion"/>
  </si>
  <si>
    <t>관   급   자   관   급</t>
    <phoneticPr fontId="12" type="noConversion"/>
  </si>
  <si>
    <t>도   급   자   관   급</t>
    <phoneticPr fontId="12" type="noConversion"/>
  </si>
  <si>
    <t>대 관 수 수 료</t>
    <phoneticPr fontId="1" type="noConversion"/>
  </si>
  <si>
    <t>총  공  사  비</t>
    <phoneticPr fontId="8" type="noConversion"/>
  </si>
  <si>
    <t>비고</t>
    <phoneticPr fontId="1" type="noConversion"/>
  </si>
  <si>
    <t>재  해  예  방  기  술  지  도</t>
    <phoneticPr fontId="8" type="noConversion"/>
  </si>
  <si>
    <t>3억 미만</t>
    <phoneticPr fontId="1" type="noConversion"/>
  </si>
  <si>
    <t>20억원미만</t>
    <phoneticPr fontId="1" type="noConversion"/>
  </si>
  <si>
    <t>40억원미만</t>
    <phoneticPr fontId="1" type="noConversion"/>
  </si>
  <si>
    <t>40억원 이상</t>
    <phoneticPr fontId="1" type="noConversion"/>
  </si>
  <si>
    <t>(금액단위 : 원, VAT포함)</t>
    <phoneticPr fontId="1" type="noConversion"/>
  </si>
  <si>
    <t>공사금액</t>
    <phoneticPr fontId="1" type="noConversion"/>
  </si>
  <si>
    <t>항목</t>
    <phoneticPr fontId="1" type="noConversion"/>
  </si>
  <si>
    <t>기술지도 횟수</t>
    <phoneticPr fontId="1" type="noConversion"/>
  </si>
  <si>
    <t>적용단가</t>
    <phoneticPr fontId="1" type="noConversion"/>
  </si>
  <si>
    <t>기술지도횟수</t>
    <phoneticPr fontId="1" type="noConversion"/>
  </si>
  <si>
    <t>월별단가 (2회 기준)</t>
  </si>
  <si>
    <t>산업안전보건법 [시행 2022.8.18]</t>
    <phoneticPr fontId="1" type="noConversion"/>
  </si>
  <si>
    <t>ㅇ 계약금액의 산출
    - 계약금액 = 기술지도 횟수(회) × 적용단가(1회 기준)
    - 기술지도 횟수(회) = 공사기간(일) / 15일     * 단, 소수점은 버림</t>
    <phoneticPr fontId="1" type="noConversion"/>
  </si>
  <si>
    <t>ㅇ 기술지도 1회당 단가("적정 계약금액에 관한 정책연구"적용)</t>
    <phoneticPr fontId="1" type="noConversion"/>
  </si>
  <si>
    <t>3억원이상
20억원미만</t>
    <phoneticPr fontId="1" type="noConversion"/>
  </si>
  <si>
    <t>20억원이상
40억원미만</t>
    <phoneticPr fontId="1" type="noConversion"/>
  </si>
  <si>
    <t>적용단가 (1회 기준)</t>
    <phoneticPr fontId="1" type="noConversion"/>
  </si>
  <si>
    <t>건설공사 재해예방기술지도 단가
산정표 참조</t>
    <phoneticPr fontId="1" type="noConversion"/>
  </si>
  <si>
    <t>월별단가 (2회 기준)</t>
    <phoneticPr fontId="1" type="noConversion"/>
  </si>
  <si>
    <t>연간단가 (24회 기준)</t>
    <phoneticPr fontId="1" type="noConversion"/>
  </si>
  <si>
    <t>*  건설재해예방전문지도기관의 지도기준(제60조 관련) [산업안전보건법 시행령(별표18)]</t>
    <phoneticPr fontId="1" type="noConversion"/>
  </si>
  <si>
    <t xml:space="preserve">  - 1.건설재해예방전문지도기관의 지도대상 (분야법 제73조제2항에 따라 건설공사도급인에 대하여 실시하는 지도는 공사의 종류에 따라 구분)</t>
    <phoneticPr fontId="1" type="noConversion"/>
  </si>
  <si>
    <t xml:space="preserve">     가.건설공사(「전기공사업법」, 「정보통신공사업법」 및 「소방시설공사업법」에 따른 전기공사, 정보통신공사 및 소방시설공사는 제외한다) 지도 분야</t>
    <phoneticPr fontId="1" type="noConversion"/>
  </si>
  <si>
    <t xml:space="preserve">     나. 「전기공사업법」, 「정보통신공사업법」 및 「소방시설공사업법」에 따른전기공사, 정보통신공사 및 소방시설공사 지도 분야</t>
    <phoneticPr fontId="1" type="noConversion"/>
  </si>
  <si>
    <t xml:space="preserve">  - 기술지도 횟수 : 기술지도는 특별한 사유가 없으면 다음의 계산식에 따른 횟수로 하고, 공사시작 후 15일 이내마다 1회 실시하되, 공사금액이 40억원이상인 공사에대해서는 </t>
    <phoneticPr fontId="1" type="noConversion"/>
  </si>
  <si>
    <t xml:space="preserve">                    별표 19 제1호 및 제2호의 구분에 따른 분야 중 그 공사에 해당하는지도 분야의 같은 표 제1호나목 지도인력기준란</t>
    <phoneticPr fontId="1" type="noConversion"/>
  </si>
  <si>
    <t xml:space="preserve">                    1) 및 같은 표 제2호나목지도인력기준란 1)에 해당하는 사람이 8회마다 한 번 이상 방문하여 기술지도</t>
    <phoneticPr fontId="1" type="noConversion"/>
  </si>
  <si>
    <t>* 재해예방 기술지도 대상(공사금액 및 기간)  [산업안전보건법 시행령 제59조]</t>
    <phoneticPr fontId="1" type="noConversion"/>
  </si>
  <si>
    <t xml:space="preserve">  - 공사금액 1억~120억 미만(토목공사는 150억) 및 「건축법」 제11조에 따른 건축허가의 대상이 되는 공사</t>
    <phoneticPr fontId="1" type="noConversion"/>
  </si>
  <si>
    <t xml:space="preserve">  - 건설공사의 건설공사발주자 또는 건설공사도급인(건설공사도급인은 건설공사발주자로부터 건설공사를 최초로 도급받은 수급인은 제외한다)은 법 제73조제1항의 건설 산업재해 </t>
    <phoneticPr fontId="1" type="noConversion"/>
  </si>
  <si>
    <t xml:space="preserve">    예방을 위한 지도계약(이하 “기술지도계약”이라 한다)을 해당 건설공사 착공일의 전날까지 체결해야 한다</t>
    <phoneticPr fontId="1" type="noConversion"/>
  </si>
  <si>
    <t xml:space="preserve">  - 제외대상</t>
    <phoneticPr fontId="1" type="noConversion"/>
  </si>
  <si>
    <t xml:space="preserve">     1. 공사기간1개월 미만</t>
    <phoneticPr fontId="1" type="noConversion"/>
  </si>
  <si>
    <t xml:space="preserve">     2. 육지와 연결되지 않은 섬 지역(제주특별자치도는 제외한다)에서 이루어지는 공사</t>
    <phoneticPr fontId="1" type="noConversion"/>
  </si>
  <si>
    <t xml:space="preserve">     3. 사업주가 별표 4에 따른 안전관리자의 자격을 가진 사람을 선임(같은 광역지방자치단체의 구역 내에서 같은 사업주가 시공하는 셋 이하의 공사에 대하여 공동으로 안전</t>
    <phoneticPr fontId="1" type="noConversion"/>
  </si>
  <si>
    <t xml:space="preserve">        관리자의 자격을 가진 사람 1명을 선임한 경우를 포함한다)하여 제18조제1항 각 호에 따른 안전관리자의 업무만을 전담하도록 하는 공사</t>
    <phoneticPr fontId="1" type="noConversion"/>
  </si>
  <si>
    <t xml:space="preserve">     4. 법 제42조제1항에 따라 유해위험방지계획서를 제출해야 하는 공사</t>
    <phoneticPr fontId="1" type="noConversion"/>
  </si>
  <si>
    <t xml:space="preserve">건설공사 재해예방기술지도 단가 산정표 </t>
    <phoneticPr fontId="8" type="noConversion"/>
  </si>
  <si>
    <t>□ 기술지도 1인당 일 방문 현장 수 &amp; 직접 인건비</t>
    <phoneticPr fontId="1" type="noConversion"/>
  </si>
  <si>
    <t>(금액단위 : 원)</t>
    <phoneticPr fontId="1" type="noConversion"/>
  </si>
  <si>
    <t>3억원 미만</t>
    <phoneticPr fontId="1" type="noConversion"/>
  </si>
  <si>
    <t>3억원 이상 ~
20억원 미만</t>
    <phoneticPr fontId="1" type="noConversion"/>
  </si>
  <si>
    <t>20억원 이상 ~
40억원 미만</t>
    <phoneticPr fontId="1" type="noConversion"/>
  </si>
  <si>
    <t>중급</t>
    <phoneticPr fontId="1" type="noConversion"/>
  </si>
  <si>
    <t>고급</t>
    <phoneticPr fontId="1" type="noConversion"/>
  </si>
  <si>
    <t>(특급3회 + 기술사1회)/4</t>
    <phoneticPr fontId="1" type="noConversion"/>
  </si>
  <si>
    <t>기술자노임단가</t>
    <phoneticPr fontId="1" type="noConversion"/>
  </si>
  <si>
    <t>(한국엔지니어링협회임금
                실태조사,2022년)</t>
    <phoneticPr fontId="1" type="noConversion"/>
  </si>
  <si>
    <t>일 기술지도 현장 수</t>
    <phoneticPr fontId="1" type="noConversion"/>
  </si>
  <si>
    <t>월 최대 : 80개소
일 최대 : 4개소</t>
    <phoneticPr fontId="1" type="noConversion"/>
  </si>
  <si>
    <t>(=80개소 / 20일)</t>
    <phoneticPr fontId="1" type="noConversion"/>
  </si>
  <si>
    <t>(=60개소 / 20일)</t>
    <phoneticPr fontId="1" type="noConversion"/>
  </si>
  <si>
    <t>(=50개소 / 20일)</t>
    <phoneticPr fontId="1" type="noConversion"/>
  </si>
  <si>
    <t>(=40개소 / 20일)</t>
    <phoneticPr fontId="1" type="noConversion"/>
  </si>
  <si>
    <t>1회당 직접인건비</t>
    <phoneticPr fontId="1" type="noConversion"/>
  </si>
  <si>
    <t>□ 기술지도 1회당 단가</t>
    <phoneticPr fontId="1" type="noConversion"/>
  </si>
  <si>
    <r>
      <rPr>
        <sz val="10"/>
        <rFont val="굴림체"/>
        <family val="3"/>
        <charset val="129"/>
      </rPr>
      <t>①</t>
    </r>
    <r>
      <rPr>
        <sz val="9"/>
        <rFont val="굴림체"/>
        <family val="3"/>
        <charset val="129"/>
      </rPr>
      <t xml:space="preserve"> 직접인건비</t>
    </r>
    <phoneticPr fontId="1" type="noConversion"/>
  </si>
  <si>
    <r>
      <rPr>
        <sz val="10"/>
        <rFont val="굴림체"/>
        <family val="3"/>
        <charset val="129"/>
      </rPr>
      <t xml:space="preserve">② </t>
    </r>
    <r>
      <rPr>
        <sz val="9"/>
        <rFont val="굴림체"/>
        <family val="3"/>
        <charset val="129"/>
      </rPr>
      <t>직접경비</t>
    </r>
    <phoneticPr fontId="1" type="noConversion"/>
  </si>
  <si>
    <t>여비등</t>
    <phoneticPr fontId="1" type="noConversion"/>
  </si>
  <si>
    <r>
      <rPr>
        <sz val="10"/>
        <rFont val="굴림체"/>
        <family val="3"/>
        <charset val="129"/>
      </rPr>
      <t>③</t>
    </r>
    <r>
      <rPr>
        <sz val="9"/>
        <rFont val="굴림체"/>
        <family val="3"/>
        <charset val="129"/>
      </rPr>
      <t xml:space="preserve"> 제경비
(직접인건비의 110~120%)</t>
    </r>
    <phoneticPr fontId="1" type="noConversion"/>
  </si>
  <si>
    <t>제경비</t>
    <phoneticPr fontId="1" type="noConversion"/>
  </si>
  <si>
    <r>
      <rPr>
        <sz val="10"/>
        <rFont val="굴림체"/>
        <family val="3"/>
        <charset val="129"/>
      </rPr>
      <t>④</t>
    </r>
    <r>
      <rPr>
        <sz val="9"/>
        <rFont val="굴림체"/>
        <family val="3"/>
        <charset val="129"/>
      </rPr>
      <t xml:space="preserve"> 기술료
(직접인건비+제경비합의 20~40%)</t>
    </r>
    <phoneticPr fontId="1" type="noConversion"/>
  </si>
  <si>
    <t>기술료</t>
    <phoneticPr fontId="1" type="noConversion"/>
  </si>
  <si>
    <r>
      <rPr>
        <sz val="10"/>
        <rFont val="굴림체"/>
        <family val="3"/>
        <charset val="129"/>
      </rPr>
      <t>⑤</t>
    </r>
    <r>
      <rPr>
        <sz val="9"/>
        <rFont val="굴림체"/>
        <family val="3"/>
        <charset val="129"/>
      </rPr>
      <t xml:space="preserve"> 합계
( </t>
    </r>
    <r>
      <rPr>
        <sz val="10"/>
        <rFont val="굴림체"/>
        <family val="3"/>
        <charset val="129"/>
      </rPr>
      <t>①+②+③+④ )</t>
    </r>
    <phoneticPr fontId="1" type="noConversion"/>
  </si>
  <si>
    <t>만원이하 절삭</t>
    <phoneticPr fontId="1" type="noConversion"/>
  </si>
  <si>
    <t>⑥ 부가가치세
( ⑤*10% )</t>
    <phoneticPr fontId="1" type="noConversion"/>
  </si>
  <si>
    <t>부가가치세</t>
    <phoneticPr fontId="1" type="noConversion"/>
  </si>
  <si>
    <r>
      <t xml:space="preserve">적용단가
( ⑤ * </t>
    </r>
    <r>
      <rPr>
        <sz val="10"/>
        <rFont val="굴림체"/>
        <family val="3"/>
        <charset val="129"/>
      </rPr>
      <t>⑥</t>
    </r>
    <r>
      <rPr>
        <sz val="9"/>
        <rFont val="굴림체"/>
        <family val="3"/>
        <charset val="129"/>
      </rPr>
      <t xml:space="preserve"> )</t>
    </r>
    <phoneticPr fontId="1" type="noConversion"/>
  </si>
  <si>
    <t>한국전력공사 표준공사비 단가표</t>
    <phoneticPr fontId="8" type="noConversion"/>
  </si>
  <si>
    <t>구 분</t>
    <phoneticPr fontId="8" type="noConversion"/>
  </si>
  <si>
    <t>계 약 종 별</t>
    <phoneticPr fontId="8" type="noConversion"/>
  </si>
  <si>
    <t>공급방식</t>
    <phoneticPr fontId="1" type="noConversion"/>
  </si>
  <si>
    <t>계약용량</t>
    <phoneticPr fontId="8" type="noConversion"/>
  </si>
  <si>
    <t>비 고</t>
    <phoneticPr fontId="1" type="noConversion"/>
  </si>
  <si>
    <t>소계</t>
    <phoneticPr fontId="1" type="noConversion"/>
  </si>
  <si>
    <t>증 설</t>
  </si>
  <si>
    <t>저 압</t>
  </si>
  <si>
    <t>3Φ 4선식</t>
  </si>
  <si>
    <t>가공공급</t>
  </si>
  <si>
    <t>[ 단위 : 원]</t>
    <phoneticPr fontId="8" type="noConversion"/>
  </si>
  <si>
    <t>단 가</t>
    <phoneticPr fontId="1" type="noConversion"/>
  </si>
  <si>
    <t>금 액</t>
    <phoneticPr fontId="1" type="noConversion"/>
  </si>
  <si>
    <t>매 1계약에 대하여 계약전력 5KW까지</t>
  </si>
  <si>
    <t>부가가치세 별도</t>
  </si>
  <si>
    <t>계약전력 5KW초과분의 매 1KW에 대하여</t>
  </si>
  <si>
    <t>고 압</t>
    <phoneticPr fontId="8" type="noConversion"/>
  </si>
  <si>
    <t>신증설 계약전력 매 1KW에 대하여</t>
    <phoneticPr fontId="8" type="noConversion"/>
  </si>
  <si>
    <t>[ 소      계 ]</t>
    <phoneticPr fontId="8" type="noConversion"/>
  </si>
  <si>
    <t>[ 부가가치세 ]</t>
    <phoneticPr fontId="8" type="noConversion"/>
  </si>
  <si>
    <t>[ 합      계 ]</t>
    <phoneticPr fontId="8" type="noConversion"/>
  </si>
  <si>
    <t>구            분</t>
    <phoneticPr fontId="8" type="noConversion"/>
  </si>
  <si>
    <t>금         액</t>
    <phoneticPr fontId="8" type="noConversion"/>
  </si>
  <si>
    <t>비     고</t>
    <phoneticPr fontId="8" type="noConversion"/>
  </si>
  <si>
    <t>가공공급</t>
    <phoneticPr fontId="8" type="noConversion"/>
  </si>
  <si>
    <t>지중공급</t>
    <phoneticPr fontId="8" type="noConversion"/>
  </si>
  <si>
    <t>저 압</t>
    <phoneticPr fontId="8" type="noConversion"/>
  </si>
  <si>
    <t>매 1계약에 대하여 계약전력 5KW까지</t>
    <phoneticPr fontId="8" type="noConversion"/>
  </si>
  <si>
    <t xml:space="preserve"> 부가가치세 별도</t>
    <phoneticPr fontId="8" type="noConversion"/>
  </si>
  <si>
    <t>계약전력 5KW초과분의 매 1KW에 대하여</t>
    <phoneticPr fontId="8" type="noConversion"/>
  </si>
  <si>
    <t>한국전기안전공사 사용전검사 수수료
(수용설비 설치공사)</t>
    <phoneticPr fontId="8" type="noConversion"/>
  </si>
  <si>
    <t>계약전력 75KW미만
사용전검사수수료 제외</t>
    <phoneticPr fontId="1" type="noConversion"/>
  </si>
  <si>
    <t>[ 단위 : 원]</t>
  </si>
  <si>
    <t>계약용량</t>
    <phoneticPr fontId="1" type="noConversion"/>
  </si>
  <si>
    <t>요금</t>
    <phoneticPr fontId="1" type="noConversion"/>
  </si>
  <si>
    <t>기본료</t>
    <phoneticPr fontId="1" type="noConversion"/>
  </si>
  <si>
    <t>KW당 요금</t>
    <phoneticPr fontId="1" type="noConversion"/>
  </si>
  <si>
    <t>부가가치세 포함</t>
  </si>
  <si>
    <t>구     분</t>
    <phoneticPr fontId="8" type="noConversion"/>
  </si>
  <si>
    <t>기 본 료</t>
    <phoneticPr fontId="8" type="noConversion"/>
  </si>
  <si>
    <t>KW당 요금</t>
    <phoneticPr fontId="8" type="noConversion"/>
  </si>
  <si>
    <t>종별</t>
    <phoneticPr fontId="1" type="noConversion"/>
  </si>
  <si>
    <t>저압</t>
    <phoneticPr fontId="1" type="noConversion"/>
  </si>
  <si>
    <t>KW까지</t>
    <phoneticPr fontId="1" type="noConversion"/>
  </si>
  <si>
    <t>고압300KW까지</t>
    <phoneticPr fontId="8" type="noConversion"/>
  </si>
  <si>
    <t>고압</t>
    <phoneticPr fontId="1" type="noConversion"/>
  </si>
  <si>
    <t>고압300KW초과</t>
    <phoneticPr fontId="8" type="noConversion"/>
  </si>
  <si>
    <t>1,000KW미만</t>
    <phoneticPr fontId="8" type="noConversion"/>
  </si>
  <si>
    <t>KW초과</t>
    <phoneticPr fontId="1" type="noConversion"/>
  </si>
  <si>
    <t>KW미만</t>
    <phoneticPr fontId="1" type="noConversion"/>
  </si>
  <si>
    <t>고압1,000KW이상</t>
    <phoneticPr fontId="8" type="noConversion"/>
  </si>
  <si>
    <t>1,000KW까지</t>
    <phoneticPr fontId="8" type="noConversion"/>
  </si>
  <si>
    <t>KW이상</t>
    <phoneticPr fontId="1" type="noConversion"/>
  </si>
  <si>
    <t>1,001 ~ 100,000KW까지</t>
    <phoneticPr fontId="8" type="noConversion"/>
  </si>
  <si>
    <t>100,000KW초과</t>
    <phoneticPr fontId="8" type="noConversion"/>
  </si>
  <si>
    <t xml:space="preserve"> 구내배전설비 검사시는 기본료에 KW당 요금의 2배 합산적용</t>
    <phoneticPr fontId="8" type="noConversion"/>
  </si>
  <si>
    <t>수용설비 용량이 200,000KW를 초과 시 200,000KW까지의 수수료 적용</t>
    <phoneticPr fontId="8" type="noConversion"/>
  </si>
  <si>
    <t>한국전기안전공사 사용전검사 수수료
(내연력발전소 설치공사)</t>
    <phoneticPr fontId="8" type="noConversion"/>
  </si>
  <si>
    <t>번호</t>
    <phoneticPr fontId="1" type="noConversion"/>
  </si>
  <si>
    <t>용량</t>
    <phoneticPr fontId="1" type="noConversion"/>
  </si>
  <si>
    <t>부가가치세 별도</t>
    <phoneticPr fontId="1" type="noConversion"/>
  </si>
  <si>
    <t>[ 소      계 ]</t>
    <phoneticPr fontId="1" type="noConversion"/>
  </si>
  <si>
    <t>[ 부가가치세 ]</t>
    <phoneticPr fontId="1" type="noConversion"/>
  </si>
  <si>
    <t>[ 합      계 ]</t>
    <phoneticPr fontId="1" type="noConversion"/>
  </si>
  <si>
    <t>300KW까지</t>
    <phoneticPr fontId="8" type="noConversion"/>
  </si>
  <si>
    <t>500KW까지</t>
    <phoneticPr fontId="1" type="noConversion"/>
  </si>
  <si>
    <t>300KW초과</t>
    <phoneticPr fontId="8" type="noConversion"/>
  </si>
  <si>
    <t>1,000KW까지</t>
    <phoneticPr fontId="1" type="noConversion"/>
  </si>
  <si>
    <t>501 ~ 1,000KW까지</t>
    <phoneticPr fontId="8" type="noConversion"/>
  </si>
  <si>
    <t>5,000KW까지</t>
    <phoneticPr fontId="1" type="noConversion"/>
  </si>
  <si>
    <t>1,001 ~ 5,000KW까지</t>
    <phoneticPr fontId="8" type="noConversion"/>
  </si>
  <si>
    <t>10,000KW까지</t>
    <phoneticPr fontId="1" type="noConversion"/>
  </si>
  <si>
    <t>5,001 ~ 10,000KW까지</t>
    <phoneticPr fontId="8" type="noConversion"/>
  </si>
  <si>
    <t>10,000KW초과</t>
    <phoneticPr fontId="1" type="noConversion"/>
  </si>
  <si>
    <t>10,000KW초과</t>
    <phoneticPr fontId="8" type="noConversion"/>
  </si>
  <si>
    <t>100,000KW까지</t>
    <phoneticPr fontId="1" type="noConversion"/>
  </si>
  <si>
    <t>50,000KW초과</t>
    <phoneticPr fontId="1" type="noConversion"/>
  </si>
  <si>
    <t>100,000KW까지</t>
    <phoneticPr fontId="8" type="noConversion"/>
  </si>
  <si>
    <t>100,000KW초과</t>
    <phoneticPr fontId="1" type="noConversion"/>
  </si>
  <si>
    <t>발전기 대당 적용</t>
    <phoneticPr fontId="1" type="noConversion"/>
  </si>
  <si>
    <t>한국전력공사 거리시설 부담금</t>
    <phoneticPr fontId="8" type="noConversion"/>
  </si>
  <si>
    <t>전압</t>
    <phoneticPr fontId="8" type="noConversion"/>
  </si>
  <si>
    <t>*구    분</t>
    <phoneticPr fontId="8" type="noConversion"/>
  </si>
  <si>
    <t>초과거리</t>
    <phoneticPr fontId="8" type="noConversion"/>
  </si>
  <si>
    <t>단위</t>
    <phoneticPr fontId="8" type="noConversion"/>
  </si>
  <si>
    <t>거리시설 부담금</t>
    <phoneticPr fontId="8" type="noConversion"/>
  </si>
  <si>
    <t>인입방식</t>
    <phoneticPr fontId="8" type="noConversion"/>
  </si>
  <si>
    <t>첨가초과거리</t>
    <phoneticPr fontId="8" type="noConversion"/>
  </si>
  <si>
    <t>신설초과거리</t>
    <phoneticPr fontId="8" type="noConversion"/>
  </si>
  <si>
    <t>저압/고압</t>
    <phoneticPr fontId="8" type="noConversion"/>
  </si>
  <si>
    <t>공중공급</t>
    <phoneticPr fontId="8" type="noConversion"/>
  </si>
  <si>
    <t>단상</t>
    <phoneticPr fontId="8" type="noConversion"/>
  </si>
  <si>
    <t>삼상</t>
    <phoneticPr fontId="8" type="noConversion"/>
  </si>
  <si>
    <t>신설 거리</t>
    <phoneticPr fontId="8" type="noConversion"/>
  </si>
  <si>
    <t>기본거리를 초과하는</t>
    <phoneticPr fontId="8" type="noConversion"/>
  </si>
  <si>
    <t>저압</t>
    <phoneticPr fontId="8" type="noConversion"/>
  </si>
  <si>
    <t>시설부담금</t>
    <phoneticPr fontId="8" type="noConversion"/>
  </si>
  <si>
    <t>신설거리 매1M당</t>
    <phoneticPr fontId="8" type="noConversion"/>
  </si>
  <si>
    <t>고압및특별고압</t>
    <phoneticPr fontId="8" type="noConversion"/>
  </si>
  <si>
    <t>첨가 거리</t>
    <phoneticPr fontId="8" type="noConversion"/>
  </si>
  <si>
    <t>첨가거리 매1M당</t>
    <phoneticPr fontId="8" type="noConversion"/>
  </si>
  <si>
    <t xml:space="preserve">한국전력 공급약관 세칙 제93조 【표준시설부담금의 산정】 </t>
    <phoneticPr fontId="8" type="noConversion"/>
  </si>
  <si>
    <r>
      <t xml:space="preserve">③ 거리시설부담금은 제94조[표준시설부담금 산정거리의 측정]에 따라 산정한 거리가 </t>
    </r>
    <r>
      <rPr>
        <b/>
        <sz val="9"/>
        <rFont val="굴림체"/>
        <family val="3"/>
        <charset val="129"/>
      </rPr>
      <t>공중 배전선로는 200m</t>
    </r>
    <r>
      <rPr>
        <sz val="9"/>
        <rFont val="굴림체"/>
        <family val="3"/>
        <charset val="129"/>
      </rPr>
      <t xml:space="preserve">, </t>
    </r>
    <r>
      <rPr>
        <b/>
        <sz val="9"/>
        <rFont val="굴림체"/>
        <family val="3"/>
        <charset val="129"/>
      </rPr>
      <t>지중배전선로는 50m</t>
    </r>
    <r>
      <rPr>
        <sz val="9"/>
        <rFont val="굴림체"/>
        <family val="3"/>
        <charset val="129"/>
      </rPr>
      <t>(이하 "기본거리"라 합니다)를 초과하는
   경우에 적용하며, 신설거리시설부담금과 첨가거리시설부담금을 합한 금액으로 합니다.
   다만, 신설거리와 첨가거리가 혼재하는 경우 및 공중 배전선로와 지중 배전선로가 혼재하는 경우의 거리시설부담금은 세칙에서 정하는 바에 따릅니다</t>
    </r>
    <phoneticPr fontId="8" type="noConversion"/>
  </si>
  <si>
    <t>㈜</t>
    <phoneticPr fontId="8" type="noConversion"/>
  </si>
  <si>
    <t>1. 1m 미만의 끝자리수는 버립니다.</t>
    <phoneticPr fontId="8" type="noConversion"/>
  </si>
  <si>
    <t xml:space="preserve">2. 삼상으로 공급하기위하여 기존 단성 배전선로에 첨가공사를 하는 경우에는 첨가거리시설부담금 단가를 적용합니다. </t>
    <phoneticPr fontId="8" type="noConversion"/>
  </si>
  <si>
    <t xml:space="preserve">   다만, 지중 배전선로인 경우에는 신설거리시설부담금 단가를 적용합니다.</t>
    <phoneticPr fontId="8" type="noConversion"/>
  </si>
  <si>
    <t>전기안전관리대행 수수료</t>
    <phoneticPr fontId="8" type="noConversion"/>
  </si>
  <si>
    <t>전 기 안 전 관 리 대 행 수 수 료</t>
    <phoneticPr fontId="8" type="noConversion"/>
  </si>
  <si>
    <t>*계약용량</t>
    <phoneticPr fontId="8" type="noConversion"/>
  </si>
  <si>
    <t>KW</t>
    <phoneticPr fontId="8" type="noConversion"/>
  </si>
  <si>
    <t>원</t>
    <phoneticPr fontId="8" type="noConversion"/>
  </si>
  <si>
    <t xml:space="preserve"> 저압</t>
    <phoneticPr fontId="8" type="noConversion"/>
  </si>
  <si>
    <t>[ 소 계 ]</t>
    <phoneticPr fontId="8" type="noConversion"/>
  </si>
  <si>
    <t>[  계  ]</t>
    <phoneticPr fontId="8" type="noConversion"/>
  </si>
  <si>
    <t>구               분</t>
    <phoneticPr fontId="8" type="noConversion"/>
  </si>
  <si>
    <t>수수료</t>
    <phoneticPr fontId="8" type="noConversion"/>
  </si>
  <si>
    <t>49KW까지</t>
    <phoneticPr fontId="8" type="noConversion"/>
  </si>
  <si>
    <t>50KW ~ 99KW까지</t>
    <phoneticPr fontId="8" type="noConversion"/>
  </si>
  <si>
    <t>100KW이상</t>
    <phoneticPr fontId="8" type="noConversion"/>
  </si>
  <si>
    <t>고압</t>
    <phoneticPr fontId="8" type="noConversion"/>
  </si>
  <si>
    <t>99KW까지</t>
    <phoneticPr fontId="8" type="noConversion"/>
  </si>
  <si>
    <t>100KW ~ 199KW까지</t>
    <phoneticPr fontId="8" type="noConversion"/>
  </si>
  <si>
    <t>200KW ~ 299KW까지</t>
    <phoneticPr fontId="8" type="noConversion"/>
  </si>
  <si>
    <t>300KW ~ 399KW까지</t>
    <phoneticPr fontId="8" type="noConversion"/>
  </si>
  <si>
    <t>400KW ~ 499KW까지</t>
    <phoneticPr fontId="8" type="noConversion"/>
  </si>
  <si>
    <t>500KW ~ 599KW까지</t>
    <phoneticPr fontId="8" type="noConversion"/>
  </si>
  <si>
    <t>600KW ~ 699KW까지</t>
    <phoneticPr fontId="8" type="noConversion"/>
  </si>
  <si>
    <t>700KW ~ 799KW까지</t>
    <phoneticPr fontId="8" type="noConversion"/>
  </si>
  <si>
    <t>800KW ~ 899KW까지</t>
    <phoneticPr fontId="8" type="noConversion"/>
  </si>
  <si>
    <t>900KW ~ 999KW까지</t>
    <phoneticPr fontId="8" type="noConversion"/>
  </si>
  <si>
    <t>1,000KW ~ 1,199KW까지</t>
    <phoneticPr fontId="8" type="noConversion"/>
  </si>
  <si>
    <t>1,200KW ~ 1,499KW까지</t>
    <phoneticPr fontId="8" type="noConversion"/>
  </si>
  <si>
    <t>*계약종별</t>
    <phoneticPr fontId="8" type="noConversion"/>
  </si>
  <si>
    <t>1상2선식</t>
    <phoneticPr fontId="8" type="noConversion"/>
  </si>
  <si>
    <t>신설</t>
    <phoneticPr fontId="8" type="noConversion"/>
  </si>
  <si>
    <t>(가로등용 전력)</t>
    <phoneticPr fontId="8" type="noConversion"/>
  </si>
  <si>
    <t xml:space="preserve">220V </t>
    <phoneticPr fontId="8" type="noConversion"/>
  </si>
  <si>
    <t>*단    가</t>
    <phoneticPr fontId="8" type="noConversion"/>
  </si>
  <si>
    <t>1KW당</t>
    <phoneticPr fontId="8" type="noConversion"/>
  </si>
  <si>
    <t>5KW까지</t>
    <phoneticPr fontId="8" type="noConversion"/>
  </si>
  <si>
    <t>(부가세불포함)</t>
    <phoneticPr fontId="8" type="noConversion"/>
  </si>
  <si>
    <t>가공인입적용</t>
    <phoneticPr fontId="8" type="noConversion"/>
  </si>
  <si>
    <t>*신청개소</t>
    <phoneticPr fontId="8" type="noConversion"/>
  </si>
  <si>
    <t>개소</t>
    <phoneticPr fontId="8" type="noConversion"/>
  </si>
  <si>
    <t>한국전력공사 부안지사</t>
    <phoneticPr fontId="8" type="noConversion"/>
  </si>
  <si>
    <t># REMARKS</t>
    <phoneticPr fontId="8" type="noConversion"/>
  </si>
  <si>
    <t xml:space="preserve">장소 : 부안군 </t>
    <phoneticPr fontId="8" type="noConversion"/>
  </si>
  <si>
    <t>산출근거</t>
    <phoneticPr fontId="8" type="noConversion"/>
  </si>
  <si>
    <t>PNL-1</t>
    <phoneticPr fontId="8" type="noConversion"/>
  </si>
  <si>
    <t>=</t>
    <phoneticPr fontId="8" type="noConversion"/>
  </si>
  <si>
    <t>PNL-7</t>
    <phoneticPr fontId="8" type="noConversion"/>
  </si>
  <si>
    <t>PNL-2</t>
  </si>
  <si>
    <t>PNL-8</t>
  </si>
  <si>
    <t>PNL-3</t>
  </si>
  <si>
    <t>PNL-9</t>
  </si>
  <si>
    <t>PNL-4</t>
  </si>
  <si>
    <t>PNL-10</t>
  </si>
  <si>
    <t>PNL-5</t>
  </si>
  <si>
    <t>PNL-11</t>
  </si>
  <si>
    <t>PNL-6</t>
  </si>
  <si>
    <t>합   계</t>
    <phoneticPr fontId="8" type="noConversion"/>
  </si>
  <si>
    <t>VA</t>
    <phoneticPr fontId="8" type="noConversion"/>
  </si>
  <si>
    <t xml:space="preserve">  합   계</t>
    <phoneticPr fontId="8" type="noConversion"/>
  </si>
  <si>
    <t>5KW미만 총 인입개소 : 총 11개소 중   11개소</t>
    <phoneticPr fontId="8" type="noConversion"/>
  </si>
  <si>
    <t>총 전력량</t>
    <phoneticPr fontId="8" type="noConversion"/>
  </si>
  <si>
    <t>한국전기안전공사  안전검사 수수료</t>
    <phoneticPr fontId="8" type="noConversion"/>
  </si>
  <si>
    <t>가로등 점검수수료</t>
    <phoneticPr fontId="8" type="noConversion"/>
  </si>
  <si>
    <t>*기 본 료</t>
    <phoneticPr fontId="8" type="noConversion"/>
  </si>
  <si>
    <t>본당</t>
    <phoneticPr fontId="8" type="noConversion"/>
  </si>
  <si>
    <t xml:space="preserve">196/4 = </t>
    <phoneticPr fontId="8" type="noConversion"/>
  </si>
  <si>
    <t>4등당 1회 적용</t>
    <phoneticPr fontId="8" type="noConversion"/>
  </si>
  <si>
    <t>*가로등수</t>
    <phoneticPr fontId="8" type="noConversion"/>
  </si>
  <si>
    <t>본</t>
    <phoneticPr fontId="8" type="noConversion"/>
  </si>
  <si>
    <t>등당 점검료</t>
    <phoneticPr fontId="8" type="noConversion"/>
  </si>
  <si>
    <t>한국전력공사 표준공사비 단가표(전기자동차충전용설비)</t>
    <phoneticPr fontId="8" type="noConversion"/>
  </si>
  <si>
    <t>입력사항</t>
    <phoneticPr fontId="8" type="noConversion"/>
  </si>
  <si>
    <t>지중공급</t>
  </si>
  <si>
    <t>금액</t>
    <phoneticPr fontId="8" type="noConversion"/>
  </si>
  <si>
    <t>전력용량</t>
    <phoneticPr fontId="8" type="noConversion"/>
  </si>
  <si>
    <t>3Φ 4선식</t>
    <phoneticPr fontId="8" type="noConversion"/>
  </si>
  <si>
    <t>저압과 고압 수전용량</t>
    <phoneticPr fontId="8" type="noConversion"/>
  </si>
  <si>
    <t>* 저    압</t>
  </si>
  <si>
    <t>1Φ 2선식</t>
    <phoneticPr fontId="8" type="noConversion"/>
  </si>
  <si>
    <t>* 저    압</t>
    <phoneticPr fontId="8" type="noConversion"/>
  </si>
  <si>
    <t>* 고    압</t>
    <phoneticPr fontId="8" type="noConversion"/>
  </si>
  <si>
    <t>*비고</t>
    <phoneticPr fontId="26" type="noConversion"/>
  </si>
  <si>
    <t>제10조의3 [전기자동차 충전용설비에 대한 전기사용계약기준]</t>
    <phoneticPr fontId="26" type="noConversion"/>
  </si>
  <si>
    <t>① 약관 제18조(전기사용장소)에 불구하고 고객이 희망할 경우에는 전기자동차 충전용설비에 대해서 충전사업자별 또는 충전설비별로 별도의 전기사용장소로 구분할 수 있다.</t>
    <phoneticPr fontId="26" type="noConversion"/>
  </si>
  <si>
    <t>② 전기자동차 충전용설비에 대한 공급전압은 약관 제23조(전기공급방식, 공급전압 및 주파수)에 따라 결정한다.</t>
    <phoneticPr fontId="26" type="noConversion"/>
  </si>
  <si>
    <t>③ 전기자동차 충전용설비에 대해서는 별표4(기본공급약관특례) 제4호에서정한 전기자동차 충전전력 전기요금을 적용할 수 있도록 적합한 전력량계를 설치한다.</t>
    <phoneticPr fontId="26" type="noConversion"/>
  </si>
  <si>
    <t>④ 전기자동차 충전용설비의 시설부담금 등 기타 공급조건은 기본공급약관을 적용한다.</t>
    <phoneticPr fontId="26" type="noConversion"/>
  </si>
  <si>
    <t>계약전력 75KW미만 사용전검사수수료 제외</t>
    <phoneticPr fontId="26" type="noConversion"/>
  </si>
  <si>
    <t>한국전기안전공사 사용전검사 수수료
(다중이용시설-전기자동차충전시설)</t>
    <phoneticPr fontId="8" type="noConversion"/>
  </si>
  <si>
    <t>사용전검사 수수료</t>
    <phoneticPr fontId="8" type="noConversion"/>
  </si>
  <si>
    <t>전기자동차충전시설</t>
    <phoneticPr fontId="26" type="noConversion"/>
  </si>
  <si>
    <t>*KW당요금</t>
    <phoneticPr fontId="8" type="noConversion"/>
  </si>
  <si>
    <t>기 본 료</t>
    <phoneticPr fontId="26" type="noConversion"/>
  </si>
  <si>
    <t>KW당 요금</t>
    <phoneticPr fontId="26" type="noConversion"/>
  </si>
  <si>
    <t>전기 자동차 충전 시설</t>
    <phoneticPr fontId="26" type="noConversion"/>
  </si>
  <si>
    <t>원</t>
    <phoneticPr fontId="26" type="noConversion"/>
  </si>
  <si>
    <t>2022년 여러 사람이 이용하는 시설 등에 대한 전기안전점검 수수료</t>
    <phoneticPr fontId="26" type="noConversion"/>
  </si>
  <si>
    <t>지우지말것</t>
    <phoneticPr fontId="8" type="noConversion"/>
  </si>
  <si>
    <t>한국전기안전공사 사용전검사 수수료
(태양광발전소 설치공사)</t>
    <phoneticPr fontId="8" type="noConversion"/>
  </si>
  <si>
    <t>태양광 발전 용량</t>
    <phoneticPr fontId="1" type="noConversion"/>
  </si>
  <si>
    <t>신 규</t>
  </si>
  <si>
    <t>저압계통연계</t>
  </si>
  <si>
    <t>저압계통연계</t>
    <phoneticPr fontId="1" type="noConversion"/>
  </si>
  <si>
    <t>20KW까지</t>
    <phoneticPr fontId="1" type="noConversion"/>
  </si>
  <si>
    <t>20KW초과</t>
    <phoneticPr fontId="1" type="noConversion"/>
  </si>
  <si>
    <t>특고압계통연계</t>
    <phoneticPr fontId="1" type="noConversion"/>
  </si>
  <si>
    <t>500KW초과</t>
    <phoneticPr fontId="1" type="noConversion"/>
  </si>
  <si>
    <t>고자재 및 폐기물 처리</t>
    <phoneticPr fontId="1" type="noConversion"/>
  </si>
  <si>
    <t>단 위</t>
    <phoneticPr fontId="1" type="noConversion"/>
  </si>
  <si>
    <t>수 량</t>
    <phoneticPr fontId="1" type="noConversion"/>
  </si>
  <si>
    <t>F-CV</t>
    <phoneticPr fontId="26" type="noConversion"/>
  </si>
  <si>
    <t>F-FR8</t>
    <phoneticPr fontId="26" type="noConversion"/>
  </si>
  <si>
    <t>▣ 고자재 처리 (총괄)</t>
    <phoneticPr fontId="1" type="noConversion"/>
  </si>
  <si>
    <t>식</t>
    <phoneticPr fontId="1" type="noConversion"/>
  </si>
  <si>
    <t>F-CVV</t>
    <phoneticPr fontId="26" type="noConversion"/>
  </si>
  <si>
    <t>▣ 고자재 처리 (동-케이블)</t>
    <phoneticPr fontId="1" type="noConversion"/>
  </si>
  <si>
    <t>kg</t>
    <phoneticPr fontId="1" type="noConversion"/>
  </si>
  <si>
    <t>F-CVV-S</t>
    <phoneticPr fontId="26" type="noConversion"/>
  </si>
  <si>
    <t>F-GV</t>
    <phoneticPr fontId="26" type="noConversion"/>
  </si>
  <si>
    <t>케이블 규격</t>
    <phoneticPr fontId="1" type="noConversion"/>
  </si>
  <si>
    <t>단위중량 환산근거</t>
    <phoneticPr fontId="1" type="noConversion"/>
  </si>
  <si>
    <t>단위중량(kg/m)</t>
    <phoneticPr fontId="1" type="noConversion"/>
  </si>
  <si>
    <t>중량합계</t>
    <phoneticPr fontId="1" type="noConversion"/>
  </si>
  <si>
    <t>1. 케이블 철거</t>
    <phoneticPr fontId="1" type="noConversion"/>
  </si>
  <si>
    <t>F-CV</t>
  </si>
  <si>
    <t>m</t>
    <phoneticPr fontId="1" type="noConversion"/>
  </si>
  <si>
    <t>F-GV</t>
  </si>
  <si>
    <t>* 단위중량 환산 계산식 : [파이*(반지름)제곱]*비중/1,000 ,   구리(동, 비중 8.65)]</t>
    <phoneticPr fontId="1" type="noConversion"/>
  </si>
  <si>
    <t>[ 잠사곤충시험장 잠실저온창고 환경개선 및 비상관리시스템 구축공사 (전기) ]</t>
  </si>
  <si>
    <t>01  잠사곤충시험장 잠실저온창고 환경개선 및 비상관리시스템 구축공사 (전기)</t>
  </si>
  <si>
    <t>총    원    가</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</si>
</sst>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41" formatCode="_-* #,##0_-;\-* #,##0_-;_-* &quot;-&quot;_-;_-@_-"/>
    <numFmt numFmtId="176" formatCode="#,###"/>
    <numFmt numFmtId="182" formatCode="_ * #,##0_ ;_ * \-#,##0_ ;_ * &quot;-&quot;_ ;_ @_ "/>
    <numFmt numFmtId="183" formatCode="#,##0_);[Red]\(#,##0\)"/>
    <numFmt numFmtId="185" formatCode="&quot;₩&quot;#,##0"/>
    <numFmt numFmtId="188" formatCode="0&quot;개&quot;&quot;월&quot;"/>
    <numFmt numFmtId="190" formatCode="0.000"/>
    <numFmt numFmtId="195" formatCode="#,##0_ "/>
    <numFmt numFmtId="197" formatCode="0.0_ "/>
    <numFmt numFmtId="198" formatCode="0&quot;회&quot;"/>
    <numFmt numFmtId="199" formatCode="0.0&quot;개&quot;"/>
    <numFmt numFmtId="200" formatCode="0_ "/>
    <numFmt numFmtId="201" formatCode="#,##0\K\W"/>
    <numFmt numFmtId="202" formatCode="0&quot;식&quot;"/>
    <numFmt numFmtId="203" formatCode="#,##0&quot;원&quot;"/>
    <numFmt numFmtId="204" formatCode="0.0&quot;sq&quot;"/>
    <numFmt numFmtId="205" formatCode="0&quot;C&quot;"/>
    <numFmt numFmtId="206" formatCode="#,###.000"/>
    <numFmt numFmtId="207" formatCode="#,##0.00000_ "/>
  </numFmts>
  <fonts count="29" x14ac:knownFonts="1">
    <font>
      <sz val="11"/>
      <color theme="1"/>
      <name val="맑은 고딕"/>
      <family val="2"/>
      <charset val="129"/>
      <scheme val="minor"/>
    </font>
    <font>
      <sz val="8"/>
      <name val="맑은 고딕"/>
      <family val="2"/>
      <charset val="129"/>
      <scheme val="minor"/>
    </font>
    <font>
      <b/>
      <u/>
      <sz val="16"/>
      <color theme="1"/>
      <name val="맑은 고딕"/>
      <family val="3"/>
      <charset val="129"/>
      <scheme val="minor"/>
    </font>
    <font>
      <sz val="11"/>
      <color theme="1"/>
      <name val="맑은 고딕"/>
      <family val="3"/>
      <charset val="129"/>
      <scheme val="minor"/>
    </font>
    <font>
      <b/>
      <sz val="11"/>
      <color theme="1"/>
      <name val="맑은 고딕"/>
      <family val="3"/>
      <charset val="129"/>
      <scheme val="minor"/>
    </font>
    <font>
      <sz val="11"/>
      <color theme="1"/>
      <name val="맑은 고딕"/>
      <family val="2"/>
      <charset val="129"/>
      <scheme val="minor"/>
    </font>
    <font>
      <sz val="11"/>
      <name val="돋움"/>
      <family val="3"/>
      <charset val="129"/>
    </font>
    <font>
      <b/>
      <sz val="12"/>
      <name val="굴림체"/>
      <family val="3"/>
      <charset val="129"/>
    </font>
    <font>
      <sz val="8"/>
      <name val="돋움"/>
      <family val="3"/>
      <charset val="129"/>
    </font>
    <font>
      <sz val="12"/>
      <name val="바탕체"/>
      <family val="1"/>
      <charset val="129"/>
    </font>
    <font>
      <b/>
      <sz val="16"/>
      <name val="돋움"/>
      <family val="3"/>
      <charset val="129"/>
    </font>
    <font>
      <sz val="9"/>
      <name val="돋움"/>
      <family val="3"/>
      <charset val="129"/>
    </font>
    <font>
      <sz val="8"/>
      <name val="바탕체"/>
      <family val="1"/>
      <charset val="129"/>
    </font>
    <font>
      <b/>
      <sz val="11"/>
      <name val="돋움"/>
      <family val="3"/>
      <charset val="129"/>
    </font>
    <font>
      <sz val="8"/>
      <name val="바탕"/>
      <family val="1"/>
      <charset val="129"/>
    </font>
    <font>
      <sz val="9"/>
      <color rgb="FFFF0000"/>
      <name val="돋움"/>
      <family val="3"/>
      <charset val="129"/>
    </font>
    <font>
      <b/>
      <sz val="14"/>
      <name val="굴림체"/>
      <family val="3"/>
      <charset val="129"/>
    </font>
    <font>
      <sz val="9"/>
      <name val="굴림체"/>
      <family val="3"/>
      <charset val="129"/>
    </font>
    <font>
      <b/>
      <sz val="9"/>
      <name val="굴림체"/>
      <family val="3"/>
      <charset val="129"/>
    </font>
    <font>
      <sz val="10"/>
      <name val="굴림체"/>
      <family val="3"/>
      <charset val="129"/>
    </font>
    <font>
      <sz val="11"/>
      <color indexed="8"/>
      <name val="맑은 고딕"/>
      <family val="3"/>
      <charset val="129"/>
    </font>
    <font>
      <sz val="9"/>
      <color indexed="10"/>
      <name val="굴림체"/>
      <family val="3"/>
      <charset val="129"/>
    </font>
    <font>
      <sz val="9"/>
      <color theme="0"/>
      <name val="굴림체"/>
      <family val="3"/>
      <charset val="129"/>
    </font>
    <font>
      <sz val="9"/>
      <color indexed="55"/>
      <name val="굴림체"/>
      <family val="3"/>
      <charset val="129"/>
    </font>
    <font>
      <sz val="12"/>
      <name val="굴림체"/>
      <family val="3"/>
      <charset val="129"/>
    </font>
    <font>
      <b/>
      <sz val="9"/>
      <color indexed="10"/>
      <name val="굴림체"/>
      <family val="3"/>
      <charset val="129"/>
    </font>
    <font>
      <sz val="8"/>
      <name val="맑은 고딕"/>
      <family val="3"/>
      <charset val="129"/>
    </font>
    <font>
      <sz val="10"/>
      <color indexed="63"/>
      <name val="Arial"/>
      <family val="2"/>
    </font>
    <font>
      <sz val="10"/>
      <name val="맑은 고딕"/>
      <family val="3"/>
      <charset val="129"/>
    </font>
  </fonts>
  <fills count="5">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43"/>
        <bgColor indexed="64"/>
      </patternFill>
    </fill>
  </fills>
  <borders count="106">
    <border>
      <left/>
      <right/>
      <top/>
      <bottom/>
      <diagonal/>
    </border>
    <border>
      <left style="thin">
        <color indexed="64"/>
      </left>
      <right style="thin">
        <color indexed="64"/>
      </right>
      <top/>
      <bottom/>
      <diagonal/>
    </border>
    <border>
      <left/>
      <right style="thin">
        <color theme="0"/>
      </right>
      <top/>
      <bottom/>
      <diagonal/>
    </border>
    <border>
      <left style="thin">
        <color theme="0"/>
      </left>
      <right style="thin">
        <color theme="0"/>
      </right>
      <top/>
      <bottom/>
      <diagonal/>
    </border>
    <border>
      <left style="thin">
        <color theme="0"/>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indexed="64"/>
      </left>
      <right/>
      <top/>
      <bottom/>
      <diagonal/>
    </border>
    <border>
      <left/>
      <right style="medium">
        <color indexed="64"/>
      </right>
      <top/>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hair">
        <color indexed="64"/>
      </diagonal>
    </border>
    <border diagonalDown="1">
      <left/>
      <right/>
      <top style="thin">
        <color indexed="64"/>
      </top>
      <bottom style="thin">
        <color indexed="64"/>
      </bottom>
      <diagonal style="hair">
        <color indexed="64"/>
      </diagonal>
    </border>
    <border diagonalDown="1">
      <left/>
      <right style="thin">
        <color indexed="64"/>
      </right>
      <top style="thin">
        <color indexed="64"/>
      </top>
      <bottom style="thin">
        <color indexed="64"/>
      </bottom>
      <diagonal style="hair">
        <color indexed="64"/>
      </diagonal>
    </border>
    <border>
      <left/>
      <right/>
      <top style="thin">
        <color indexed="64"/>
      </top>
      <bottom/>
      <diagonal/>
    </border>
    <border>
      <left/>
      <right style="medium">
        <color indexed="64"/>
      </right>
      <top style="thin">
        <color indexed="64"/>
      </top>
      <bottom style="thin">
        <color indexed="64"/>
      </bottom>
      <diagonal/>
    </border>
    <border>
      <left/>
      <right style="thin">
        <color indexed="64"/>
      </right>
      <top/>
      <bottom/>
      <diagonal/>
    </border>
    <border>
      <left style="thin">
        <color indexed="64"/>
      </left>
      <right style="medium">
        <color indexed="64"/>
      </right>
      <top style="thin">
        <color indexed="64"/>
      </top>
      <bottom style="medium">
        <color indexed="64"/>
      </bottom>
      <diagonal/>
    </border>
    <border>
      <left style="hair">
        <color indexed="64"/>
      </left>
      <right style="hair">
        <color indexed="64"/>
      </right>
      <top style="hair">
        <color indexed="64"/>
      </top>
      <bottom style="hair">
        <color indexed="64"/>
      </bottom>
      <diagonal/>
    </border>
    <border>
      <left/>
      <right/>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right/>
      <top style="hair">
        <color indexed="64"/>
      </top>
      <bottom/>
      <diagonal/>
    </border>
    <border>
      <left style="thin">
        <color indexed="64"/>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top style="hair">
        <color indexed="64"/>
      </top>
      <bottom/>
      <diagonal/>
    </border>
    <border>
      <left style="hair">
        <color indexed="64"/>
      </left>
      <right/>
      <top/>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bottom style="thin">
        <color indexed="64"/>
      </bottom>
      <diagonal/>
    </border>
    <border>
      <left style="thin">
        <color indexed="64"/>
      </left>
      <right style="thin">
        <color indexed="64"/>
      </right>
      <top style="thin">
        <color indexed="64"/>
      </top>
      <bottom style="hair">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style="hair">
        <color indexed="64"/>
      </right>
      <top style="thin">
        <color indexed="64"/>
      </top>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medium">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medium">
        <color indexed="64"/>
      </left>
      <right style="hair">
        <color indexed="64"/>
      </right>
      <top style="hair">
        <color indexed="64"/>
      </top>
      <bottom style="thin">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right style="medium">
        <color indexed="64"/>
      </right>
      <top style="hair">
        <color indexed="64"/>
      </top>
      <bottom style="thin">
        <color indexed="64"/>
      </bottom>
      <diagonal/>
    </border>
    <border>
      <left style="medium">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hair">
        <color indexed="64"/>
      </right>
      <top style="hair">
        <color indexed="64"/>
      </top>
      <bottom/>
      <diagonal/>
    </border>
    <border>
      <left/>
      <right/>
      <top style="hair">
        <color indexed="64"/>
      </top>
      <bottom style="hair">
        <color indexed="64"/>
      </bottom>
      <diagonal/>
    </border>
    <border>
      <left/>
      <right style="medium">
        <color indexed="64"/>
      </right>
      <top style="hair">
        <color indexed="64"/>
      </top>
      <bottom/>
      <diagonal/>
    </border>
    <border>
      <left style="medium">
        <color indexed="64"/>
      </left>
      <right style="hair">
        <color indexed="64"/>
      </right>
      <top style="hair">
        <color indexed="64"/>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style="hair">
        <color indexed="64"/>
      </left>
      <right/>
      <top style="hair">
        <color indexed="64"/>
      </top>
      <bottom style="thin">
        <color indexed="64"/>
      </bottom>
      <diagonal/>
    </border>
    <border>
      <left style="medium">
        <color indexed="64"/>
      </left>
      <right style="hair">
        <color indexed="64"/>
      </right>
      <top style="thin">
        <color indexed="64"/>
      </top>
      <bottom style="hair">
        <color indexed="64"/>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top/>
      <bottom style="medium">
        <color indexed="64"/>
      </bottom>
      <diagonal/>
    </border>
    <border>
      <left style="medium">
        <color indexed="64"/>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medium">
        <color indexed="64"/>
      </left>
      <right/>
      <top/>
      <bottom style="hair">
        <color indexed="64"/>
      </bottom>
      <diagonal/>
    </border>
    <border>
      <left style="medium">
        <color indexed="64"/>
      </left>
      <right/>
      <top style="thin">
        <color indexed="64"/>
      </top>
      <bottom style="thin">
        <color indexed="64"/>
      </bottom>
      <diagonal/>
    </border>
    <border>
      <left style="hair">
        <color indexed="64"/>
      </left>
      <right style="medium">
        <color indexed="64"/>
      </right>
      <top style="thin">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bottom/>
      <diagonal/>
    </border>
    <border>
      <left/>
      <right style="hair">
        <color indexed="64"/>
      </right>
      <top/>
      <bottom/>
      <diagonal/>
    </border>
    <border>
      <left style="medium">
        <color indexed="64"/>
      </left>
      <right style="hair">
        <color indexed="64"/>
      </right>
      <top/>
      <bottom style="thin">
        <color indexed="64"/>
      </bottom>
      <diagonal/>
    </border>
    <border>
      <left/>
      <right style="hair">
        <color indexed="64"/>
      </right>
      <top/>
      <bottom style="thin">
        <color indexed="64"/>
      </bottom>
      <diagonal/>
    </border>
    <border>
      <left/>
      <right style="hair">
        <color indexed="64"/>
      </right>
      <top style="thin">
        <color indexed="64"/>
      </top>
      <bottom style="thin">
        <color indexed="64"/>
      </bottom>
      <diagonal/>
    </border>
    <border>
      <left style="medium">
        <color indexed="64"/>
      </left>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hair">
        <color indexed="64"/>
      </right>
      <top/>
      <bottom style="hair">
        <color indexed="64"/>
      </bottom>
      <diagonal/>
    </border>
    <border>
      <left/>
      <right style="thin">
        <color indexed="64"/>
      </right>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bottom/>
      <diagonal/>
    </border>
    <border>
      <left style="thin">
        <color indexed="64"/>
      </left>
      <right style="hair">
        <color indexed="64"/>
      </right>
      <top style="hair">
        <color indexed="64"/>
      </top>
      <bottom/>
      <diagonal/>
    </border>
    <border>
      <left style="thin">
        <color indexed="64"/>
      </left>
      <right style="hair">
        <color indexed="64"/>
      </right>
      <top/>
      <bottom style="thin">
        <color indexed="64"/>
      </bottom>
      <diagonal/>
    </border>
    <border>
      <left style="medium">
        <color indexed="64"/>
      </left>
      <right/>
      <top/>
      <bottom style="thin">
        <color indexed="64"/>
      </bottom>
      <diagonal/>
    </border>
    <border>
      <left style="hair">
        <color indexed="64"/>
      </left>
      <right style="medium">
        <color indexed="64"/>
      </right>
      <top/>
      <bottom style="hair">
        <color indexed="64"/>
      </bottom>
      <diagonal/>
    </border>
    <border>
      <left style="hair">
        <color indexed="64"/>
      </left>
      <right style="medium">
        <color indexed="64"/>
      </right>
      <top style="hair">
        <color indexed="64"/>
      </top>
      <bottom style="thin">
        <color indexed="64"/>
      </bottom>
      <diagonal/>
    </border>
  </borders>
  <cellStyleXfs count="10">
    <xf numFmtId="0" fontId="0" fillId="0" borderId="0">
      <alignment vertical="center"/>
    </xf>
    <xf numFmtId="41" fontId="5" fillId="0" borderId="0" applyFont="0" applyFill="0" applyBorder="0" applyAlignment="0" applyProtection="0">
      <alignment vertical="center"/>
    </xf>
    <xf numFmtId="9" fontId="5" fillId="0" borderId="0" applyFont="0" applyFill="0" applyBorder="0" applyAlignment="0" applyProtection="0">
      <alignment vertical="center"/>
    </xf>
    <xf numFmtId="0" fontId="6" fillId="0" borderId="0"/>
    <xf numFmtId="0" fontId="6" fillId="0" borderId="0">
      <alignment vertical="center"/>
    </xf>
    <xf numFmtId="0" fontId="6" fillId="0" borderId="0">
      <alignment vertical="center"/>
    </xf>
    <xf numFmtId="41" fontId="6" fillId="0" borderId="0" applyFont="0" applyFill="0" applyBorder="0" applyAlignment="0" applyProtection="0">
      <alignment vertical="center"/>
    </xf>
    <xf numFmtId="41" fontId="20" fillId="0" borderId="0" applyFont="0" applyFill="0" applyBorder="0" applyAlignment="0" applyProtection="0">
      <alignment vertical="center"/>
    </xf>
    <xf numFmtId="41" fontId="3" fillId="0" borderId="0" applyFont="0" applyFill="0" applyBorder="0" applyAlignment="0" applyProtection="0">
      <alignment vertical="center"/>
    </xf>
    <xf numFmtId="0" fontId="9" fillId="0" borderId="0"/>
  </cellStyleXfs>
  <cellXfs count="630">
    <xf numFmtId="0" fontId="0" fillId="0" borderId="0" xfId="0">
      <alignment vertical="center"/>
    </xf>
    <xf numFmtId="0" fontId="0" fillId="0" borderId="0" xfId="0" quotePrefix="1">
      <alignment vertical="center"/>
    </xf>
    <xf numFmtId="0" fontId="2" fillId="0" borderId="0" xfId="0" quotePrefix="1" applyFont="1" applyAlignment="1">
      <alignment horizontal="centerContinuous" vertical="center"/>
    </xf>
    <xf numFmtId="0" fontId="2" fillId="0" borderId="0" xfId="0" applyFont="1" applyAlignment="1">
      <alignment horizontal="centerContinuous" vertical="center"/>
    </xf>
    <xf numFmtId="0" fontId="0" fillId="0" borderId="2" xfId="0" quotePrefix="1" applyBorder="1">
      <alignment vertical="center"/>
    </xf>
    <xf numFmtId="0" fontId="3" fillId="0" borderId="3" xfId="0" applyFont="1" applyBorder="1">
      <alignment vertical="center"/>
    </xf>
    <xf numFmtId="0" fontId="3" fillId="0" borderId="4" xfId="0" applyFont="1" applyBorder="1">
      <alignment vertical="center"/>
    </xf>
    <xf numFmtId="0" fontId="4" fillId="0" borderId="5" xfId="0" quotePrefix="1" applyFont="1" applyBorder="1" applyAlignment="1">
      <alignment horizontal="center" vertical="center"/>
    </xf>
    <xf numFmtId="176" fontId="0" fillId="0" borderId="0" xfId="0" applyNumberFormat="1">
      <alignment vertical="center"/>
    </xf>
    <xf numFmtId="0" fontId="4" fillId="0" borderId="5" xfId="0" quotePrefix="1" applyFont="1" applyBorder="1" applyAlignment="1">
      <alignment horizontal="center" vertical="center" wrapText="1"/>
    </xf>
    <xf numFmtId="0" fontId="3" fillId="0" borderId="5" xfId="0" quotePrefix="1" applyFont="1" applyBorder="1" applyAlignment="1">
      <alignment vertical="center" wrapText="1"/>
    </xf>
    <xf numFmtId="0" fontId="3" fillId="0" borderId="5" xfId="0" applyFont="1" applyBorder="1" applyAlignment="1">
      <alignment vertical="center" wrapText="1"/>
    </xf>
    <xf numFmtId="176" fontId="3" fillId="0" borderId="5" xfId="0" applyNumberFormat="1" applyFont="1" applyBorder="1" applyAlignment="1">
      <alignment vertical="center" wrapText="1"/>
    </xf>
    <xf numFmtId="0" fontId="0" fillId="0" borderId="5" xfId="0" quotePrefix="1" applyBorder="1" applyAlignment="1">
      <alignment vertical="center" wrapText="1"/>
    </xf>
    <xf numFmtId="0" fontId="3" fillId="0" borderId="11" xfId="0" quotePrefix="1" applyFont="1" applyBorder="1" applyAlignment="1">
      <alignment vertical="center" wrapText="1"/>
    </xf>
    <xf numFmtId="0" fontId="3" fillId="0" borderId="11" xfId="0" applyFont="1" applyBorder="1" applyAlignment="1">
      <alignment vertical="center" wrapText="1"/>
    </xf>
    <xf numFmtId="176" fontId="3" fillId="0" borderId="11" xfId="0" applyNumberFormat="1" applyFont="1" applyBorder="1" applyAlignment="1">
      <alignment vertical="center" wrapText="1"/>
    </xf>
    <xf numFmtId="0" fontId="10" fillId="2" borderId="0" xfId="3" applyFont="1" applyFill="1" applyAlignment="1">
      <alignment horizontal="centerContinuous" vertical="center"/>
    </xf>
    <xf numFmtId="0" fontId="10" fillId="2" borderId="0" xfId="3" applyFont="1" applyFill="1" applyAlignment="1">
      <alignment vertical="center"/>
    </xf>
    <xf numFmtId="0" fontId="11" fillId="2" borderId="0" xfId="5" applyFont="1" applyFill="1" applyAlignment="1">
      <alignment horizontal="right" vertical="center"/>
    </xf>
    <xf numFmtId="0" fontId="6" fillId="3" borderId="0" xfId="3" applyFill="1"/>
    <xf numFmtId="0" fontId="11" fillId="3" borderId="0" xfId="3" applyFont="1" applyFill="1" applyAlignment="1">
      <alignment horizontal="center" vertical="center"/>
    </xf>
    <xf numFmtId="0" fontId="11" fillId="3" borderId="0" xfId="3" applyFont="1" applyFill="1" applyAlignment="1">
      <alignment vertical="center"/>
    </xf>
    <xf numFmtId="0" fontId="11" fillId="3" borderId="0" xfId="3" applyFont="1" applyFill="1"/>
    <xf numFmtId="0" fontId="13" fillId="2" borderId="0" xfId="3" applyFont="1" applyFill="1" applyAlignment="1">
      <alignment vertical="center"/>
    </xf>
    <xf numFmtId="0" fontId="6" fillId="2" borderId="0" xfId="3" applyFill="1" applyAlignment="1">
      <alignment vertical="center"/>
    </xf>
    <xf numFmtId="0" fontId="13" fillId="2" borderId="21" xfId="3" applyFont="1" applyFill="1" applyBorder="1" applyAlignment="1">
      <alignment vertical="center"/>
    </xf>
    <xf numFmtId="185" fontId="13" fillId="2" borderId="21" xfId="6" applyNumberFormat="1" applyFont="1" applyFill="1" applyBorder="1" applyAlignment="1">
      <alignment vertical="center"/>
    </xf>
    <xf numFmtId="0" fontId="11" fillId="2" borderId="0" xfId="3" applyFont="1" applyFill="1" applyAlignment="1">
      <alignment horizontal="right" vertical="center"/>
    </xf>
    <xf numFmtId="0" fontId="11" fillId="2" borderId="25" xfId="3" applyFont="1" applyFill="1" applyBorder="1" applyAlignment="1">
      <alignment vertical="center"/>
    </xf>
    <xf numFmtId="0" fontId="11" fillId="2" borderId="19" xfId="3" applyFont="1" applyFill="1" applyBorder="1" applyAlignment="1">
      <alignment horizontal="left" vertical="center"/>
    </xf>
    <xf numFmtId="0" fontId="6" fillId="2" borderId="18" xfId="3" applyFill="1" applyBorder="1" applyAlignment="1">
      <alignment horizontal="left"/>
    </xf>
    <xf numFmtId="0" fontId="11" fillId="2" borderId="6" xfId="3" applyFont="1" applyFill="1" applyBorder="1" applyAlignment="1">
      <alignment horizontal="center"/>
    </xf>
    <xf numFmtId="0" fontId="11" fillId="2" borderId="11" xfId="3" applyFont="1" applyFill="1" applyBorder="1" applyAlignment="1">
      <alignment horizontal="center" vertical="center"/>
    </xf>
    <xf numFmtId="41" fontId="11" fillId="2" borderId="25" xfId="3" applyNumberFormat="1" applyFont="1" applyFill="1" applyBorder="1" applyAlignment="1">
      <alignment vertical="center"/>
    </xf>
    <xf numFmtId="0" fontId="11" fillId="2" borderId="18" xfId="3" applyFont="1" applyFill="1" applyBorder="1" applyAlignment="1">
      <alignment vertical="center"/>
    </xf>
    <xf numFmtId="0" fontId="11" fillId="2" borderId="19" xfId="3" applyFont="1" applyFill="1" applyBorder="1" applyAlignment="1">
      <alignment vertical="center"/>
    </xf>
    <xf numFmtId="0" fontId="6" fillId="2" borderId="12" xfId="3" applyFill="1" applyBorder="1" applyAlignment="1">
      <alignment horizontal="left"/>
    </xf>
    <xf numFmtId="0" fontId="11" fillId="2" borderId="1" xfId="3" applyFont="1" applyFill="1" applyBorder="1" applyAlignment="1">
      <alignment horizontal="center"/>
    </xf>
    <xf numFmtId="41" fontId="11" fillId="2" borderId="9" xfId="3" applyNumberFormat="1" applyFont="1" applyFill="1" applyBorder="1" applyAlignment="1">
      <alignment vertical="center"/>
    </xf>
    <xf numFmtId="0" fontId="11" fillId="2" borderId="8" xfId="3" applyFont="1" applyFill="1" applyBorder="1" applyAlignment="1">
      <alignment vertical="center"/>
    </xf>
    <xf numFmtId="0" fontId="11" fillId="2" borderId="9" xfId="3" applyFont="1" applyFill="1" applyBorder="1" applyAlignment="1">
      <alignment vertical="center"/>
    </xf>
    <xf numFmtId="0" fontId="11" fillId="2" borderId="10" xfId="3" applyFont="1" applyFill="1" applyBorder="1" applyAlignment="1">
      <alignment vertical="center"/>
    </xf>
    <xf numFmtId="0" fontId="11" fillId="2" borderId="12" xfId="3" applyFont="1" applyFill="1" applyBorder="1" applyAlignment="1">
      <alignment horizontal="center"/>
    </xf>
    <xf numFmtId="41" fontId="11" fillId="2" borderId="0" xfId="3" applyNumberFormat="1" applyFont="1" applyFill="1" applyAlignment="1">
      <alignment vertical="center"/>
    </xf>
    <xf numFmtId="0" fontId="11" fillId="2" borderId="12" xfId="3" applyFont="1" applyFill="1" applyBorder="1" applyAlignment="1">
      <alignment vertical="center"/>
    </xf>
    <xf numFmtId="0" fontId="11" fillId="2" borderId="0" xfId="3" applyFont="1" applyFill="1" applyAlignment="1">
      <alignment vertical="center"/>
    </xf>
    <xf numFmtId="0" fontId="11" fillId="2" borderId="27" xfId="3" applyFont="1" applyFill="1" applyBorder="1" applyAlignment="1">
      <alignment vertical="center"/>
    </xf>
    <xf numFmtId="0" fontId="11" fillId="2" borderId="7" xfId="3" applyFont="1" applyFill="1" applyBorder="1" applyAlignment="1">
      <alignment horizontal="center" vertical="center"/>
    </xf>
    <xf numFmtId="0" fontId="11" fillId="2" borderId="6" xfId="3" applyFont="1" applyFill="1" applyBorder="1" applyAlignment="1">
      <alignment horizontal="center" vertical="center"/>
    </xf>
    <xf numFmtId="0" fontId="11" fillId="2" borderId="1" xfId="3" applyFont="1" applyFill="1" applyBorder="1" applyAlignment="1">
      <alignment horizontal="center" vertical="center"/>
    </xf>
    <xf numFmtId="2" fontId="11" fillId="2" borderId="9" xfId="3" applyNumberFormat="1" applyFont="1" applyFill="1" applyBorder="1" applyAlignment="1">
      <alignment vertical="center"/>
    </xf>
    <xf numFmtId="0" fontId="11" fillId="2" borderId="10" xfId="3" applyFont="1" applyFill="1" applyBorder="1" applyAlignment="1">
      <alignment horizontal="left" vertical="center"/>
    </xf>
    <xf numFmtId="0" fontId="6" fillId="3" borderId="0" xfId="3" applyFill="1" applyAlignment="1">
      <alignment horizontal="center"/>
    </xf>
    <xf numFmtId="41" fontId="11" fillId="2" borderId="8" xfId="3" applyNumberFormat="1" applyFont="1" applyFill="1" applyBorder="1" applyAlignment="1">
      <alignment vertical="center"/>
    </xf>
    <xf numFmtId="190" fontId="11" fillId="2" borderId="9" xfId="3" applyNumberFormat="1" applyFont="1" applyFill="1" applyBorder="1" applyAlignment="1">
      <alignment vertical="center"/>
    </xf>
    <xf numFmtId="0" fontId="6" fillId="2" borderId="1" xfId="3" applyFill="1" applyBorder="1" applyAlignment="1">
      <alignment horizontal="left"/>
    </xf>
    <xf numFmtId="0" fontId="11" fillId="2" borderId="27" xfId="3" applyFont="1" applyFill="1" applyBorder="1" applyAlignment="1">
      <alignment horizontal="center" vertical="center"/>
    </xf>
    <xf numFmtId="2" fontId="11" fillId="2" borderId="25" xfId="3" applyNumberFormat="1" applyFont="1" applyFill="1" applyBorder="1" applyAlignment="1">
      <alignment vertical="center"/>
    </xf>
    <xf numFmtId="0" fontId="6" fillId="2" borderId="7" xfId="3" applyFill="1" applyBorder="1" applyAlignment="1">
      <alignment horizontal="left"/>
    </xf>
    <xf numFmtId="0" fontId="6" fillId="3" borderId="12" xfId="3" applyFill="1" applyBorder="1"/>
    <xf numFmtId="0" fontId="11" fillId="2" borderId="8" xfId="3" applyFont="1" applyFill="1" applyBorder="1" applyAlignment="1">
      <alignment horizontal="centerContinuous" vertical="center"/>
    </xf>
    <xf numFmtId="0" fontId="11" fillId="2" borderId="9" xfId="3" applyFont="1" applyFill="1" applyBorder="1" applyAlignment="1">
      <alignment horizontal="centerContinuous" vertical="center"/>
    </xf>
    <xf numFmtId="0" fontId="11" fillId="2" borderId="10" xfId="3" applyFont="1" applyFill="1" applyBorder="1" applyAlignment="1">
      <alignment horizontal="centerContinuous" vertical="center"/>
    </xf>
    <xf numFmtId="41" fontId="15" fillId="2" borderId="9" xfId="3" applyNumberFormat="1" applyFont="1" applyFill="1" applyBorder="1" applyAlignment="1">
      <alignment vertical="center"/>
    </xf>
    <xf numFmtId="0" fontId="15" fillId="2" borderId="8" xfId="3" applyFont="1" applyFill="1" applyBorder="1" applyAlignment="1">
      <alignment vertical="center"/>
    </xf>
    <xf numFmtId="0" fontId="11" fillId="2" borderId="8" xfId="3" applyFont="1" applyFill="1" applyBorder="1" applyAlignment="1">
      <alignment horizontal="left" vertical="center"/>
    </xf>
    <xf numFmtId="0" fontId="16" fillId="2" borderId="0" xfId="4" applyFont="1" applyFill="1" applyAlignment="1">
      <alignment horizontal="centerContinuous" vertical="center"/>
    </xf>
    <xf numFmtId="0" fontId="17" fillId="2" borderId="0" xfId="4" applyFont="1" applyFill="1" applyProtection="1">
      <alignment vertical="center"/>
      <protection locked="0"/>
    </xf>
    <xf numFmtId="0" fontId="17" fillId="2" borderId="0" xfId="4" applyFont="1" applyFill="1" applyAlignment="1" applyProtection="1">
      <alignment horizontal="center" vertical="center"/>
      <protection locked="0"/>
    </xf>
    <xf numFmtId="0" fontId="17" fillId="2" borderId="29" xfId="4" applyFont="1" applyFill="1" applyBorder="1" applyAlignment="1">
      <alignment horizontal="center" vertical="center"/>
    </xf>
    <xf numFmtId="0" fontId="17" fillId="2" borderId="29" xfId="4" applyFont="1" applyFill="1" applyBorder="1" applyAlignment="1">
      <alignment horizontal="center" vertical="center" wrapText="1"/>
    </xf>
    <xf numFmtId="0" fontId="18" fillId="2" borderId="0" xfId="4" applyFont="1" applyFill="1" applyAlignment="1">
      <alignment horizontal="left" vertical="center"/>
    </xf>
    <xf numFmtId="0" fontId="17" fillId="2" borderId="0" xfId="4" applyFont="1" applyFill="1" applyAlignment="1">
      <alignment horizontal="left" vertical="center"/>
    </xf>
    <xf numFmtId="0" fontId="17" fillId="2" borderId="0" xfId="4" applyFont="1" applyFill="1" applyAlignment="1">
      <alignment horizontal="center" vertical="center"/>
    </xf>
    <xf numFmtId="0" fontId="17" fillId="2" borderId="30" xfId="4" applyFont="1" applyFill="1" applyBorder="1" applyAlignment="1">
      <alignment horizontal="right" vertical="center"/>
    </xf>
    <xf numFmtId="0" fontId="17" fillId="2" borderId="11" xfId="4" applyFont="1" applyFill="1" applyBorder="1" applyAlignment="1" applyProtection="1">
      <alignment horizontal="center" vertical="center"/>
      <protection locked="0"/>
    </xf>
    <xf numFmtId="41" fontId="17" fillId="2" borderId="11" xfId="1" applyFont="1" applyFill="1" applyBorder="1" applyAlignment="1" applyProtection="1">
      <alignment horizontal="center" vertical="center"/>
      <protection locked="0"/>
    </xf>
    <xf numFmtId="41" fontId="17" fillId="2" borderId="29" xfId="1" applyFont="1" applyFill="1" applyBorder="1" applyAlignment="1" applyProtection="1">
      <alignment horizontal="center" vertical="center"/>
      <protection locked="0"/>
    </xf>
    <xf numFmtId="0" fontId="17" fillId="2" borderId="29" xfId="4" applyFont="1" applyFill="1" applyBorder="1" applyAlignment="1" applyProtection="1">
      <alignment horizontal="center" vertical="center"/>
      <protection locked="0"/>
    </xf>
    <xf numFmtId="0" fontId="11" fillId="0" borderId="31" xfId="4" applyFont="1" applyBorder="1" applyAlignment="1">
      <alignment horizontal="center" vertical="center"/>
    </xf>
    <xf numFmtId="0" fontId="17" fillId="2" borderId="31" xfId="4" applyFont="1" applyFill="1" applyBorder="1" applyAlignment="1">
      <alignment horizontal="center" vertical="center"/>
    </xf>
    <xf numFmtId="0" fontId="17" fillId="2" borderId="32" xfId="4" applyFont="1" applyFill="1" applyBorder="1" applyAlignment="1">
      <alignment horizontal="center" vertical="center"/>
    </xf>
    <xf numFmtId="41" fontId="17" fillId="2" borderId="0" xfId="4" applyNumberFormat="1" applyFont="1" applyFill="1" applyProtection="1">
      <alignment vertical="center"/>
      <protection locked="0"/>
    </xf>
    <xf numFmtId="188" fontId="17" fillId="2" borderId="11" xfId="4" applyNumberFormat="1" applyFont="1" applyFill="1" applyBorder="1" applyAlignment="1" applyProtection="1">
      <alignment horizontal="center" vertical="center"/>
      <protection locked="0"/>
    </xf>
    <xf numFmtId="197" fontId="17" fillId="2" borderId="11" xfId="4" applyNumberFormat="1" applyFont="1" applyFill="1" applyBorder="1" applyAlignment="1" applyProtection="1">
      <alignment horizontal="center" vertical="center"/>
      <protection locked="0"/>
    </xf>
    <xf numFmtId="188" fontId="17" fillId="2" borderId="29" xfId="4" applyNumberFormat="1" applyFont="1" applyFill="1" applyBorder="1" applyAlignment="1">
      <alignment horizontal="center" vertical="center"/>
    </xf>
    <xf numFmtId="0" fontId="17" fillId="2" borderId="33" xfId="4" applyFont="1" applyFill="1" applyBorder="1" applyAlignment="1">
      <alignment horizontal="center" vertical="center"/>
    </xf>
    <xf numFmtId="198" fontId="17" fillId="2" borderId="29" xfId="4" applyNumberFormat="1" applyFont="1" applyFill="1" applyBorder="1" applyAlignment="1">
      <alignment horizontal="center" vertical="center"/>
    </xf>
    <xf numFmtId="41" fontId="17" fillId="2" borderId="29" xfId="1" applyFont="1" applyFill="1" applyBorder="1" applyAlignment="1">
      <alignment horizontal="center" vertical="center"/>
    </xf>
    <xf numFmtId="41" fontId="17" fillId="2" borderId="29" xfId="4" applyNumberFormat="1" applyFont="1" applyFill="1" applyBorder="1" applyAlignment="1">
      <alignment horizontal="center" vertical="center"/>
    </xf>
    <xf numFmtId="41" fontId="17" fillId="2" borderId="34" xfId="4" applyNumberFormat="1" applyFont="1" applyFill="1" applyBorder="1" applyAlignment="1">
      <alignment horizontal="center" vertical="center"/>
    </xf>
    <xf numFmtId="41" fontId="19" fillId="2" borderId="0" xfId="4" applyNumberFormat="1" applyFont="1" applyFill="1" applyProtection="1">
      <alignment vertical="center"/>
      <protection locked="0"/>
    </xf>
    <xf numFmtId="0" fontId="17" fillId="2" borderId="18" xfId="4" applyFont="1" applyFill="1" applyBorder="1" applyAlignment="1">
      <alignment horizontal="left" vertical="center"/>
    </xf>
    <xf numFmtId="0" fontId="17" fillId="2" borderId="25" xfId="4" applyFont="1" applyFill="1" applyBorder="1" applyAlignment="1">
      <alignment horizontal="center" vertical="center"/>
    </xf>
    <xf numFmtId="0" fontId="17" fillId="2" borderId="19" xfId="4" applyFont="1" applyFill="1" applyBorder="1" applyAlignment="1">
      <alignment horizontal="right" vertical="center"/>
    </xf>
    <xf numFmtId="0" fontId="17" fillId="2" borderId="37" xfId="4" applyFont="1" applyFill="1" applyBorder="1" applyAlignment="1">
      <alignment horizontal="center" vertical="center"/>
    </xf>
    <xf numFmtId="0" fontId="17" fillId="2" borderId="34" xfId="4" applyFont="1" applyFill="1" applyBorder="1" applyAlignment="1">
      <alignment horizontal="center" vertical="center"/>
    </xf>
    <xf numFmtId="0" fontId="17" fillId="2" borderId="38" xfId="4" applyFont="1" applyFill="1" applyBorder="1" applyAlignment="1">
      <alignment horizontal="center" vertical="center"/>
    </xf>
    <xf numFmtId="0" fontId="17" fillId="2" borderId="41" xfId="4" applyFont="1" applyFill="1" applyBorder="1" applyAlignment="1">
      <alignment horizontal="center" vertical="center"/>
    </xf>
    <xf numFmtId="41" fontId="17" fillId="2" borderId="42" xfId="1" applyFont="1" applyFill="1" applyBorder="1" applyAlignment="1">
      <alignment horizontal="center" vertical="center"/>
    </xf>
    <xf numFmtId="0" fontId="17" fillId="2" borderId="12" xfId="4" applyFont="1" applyFill="1" applyBorder="1" applyAlignment="1">
      <alignment horizontal="left" vertical="center"/>
    </xf>
    <xf numFmtId="41" fontId="17" fillId="2" borderId="0" xfId="7" applyFont="1" applyFill="1" applyBorder="1" applyAlignment="1" applyProtection="1">
      <alignment vertical="center"/>
    </xf>
    <xf numFmtId="0" fontId="17" fillId="2" borderId="0" xfId="4" quotePrefix="1" applyFont="1" applyFill="1" applyAlignment="1">
      <alignment horizontal="center" vertical="center"/>
    </xf>
    <xf numFmtId="41" fontId="18" fillId="2" borderId="0" xfId="7" applyFont="1" applyFill="1" applyBorder="1" applyAlignment="1" applyProtection="1">
      <alignment vertical="center"/>
    </xf>
    <xf numFmtId="0" fontId="17" fillId="2" borderId="0" xfId="4" quotePrefix="1" applyFont="1" applyFill="1">
      <alignment vertical="center"/>
    </xf>
    <xf numFmtId="41" fontId="18" fillId="2" borderId="0" xfId="7" applyFont="1" applyFill="1" applyBorder="1" applyAlignment="1" applyProtection="1">
      <alignment horizontal="center" vertical="center"/>
    </xf>
    <xf numFmtId="41" fontId="17" fillId="2" borderId="0" xfId="7" applyFont="1" applyFill="1" applyBorder="1" applyAlignment="1" applyProtection="1">
      <alignment horizontal="center" vertical="center"/>
    </xf>
    <xf numFmtId="41" fontId="17" fillId="2" borderId="0" xfId="4" applyNumberFormat="1" applyFont="1" applyFill="1" applyAlignment="1" applyProtection="1">
      <alignment horizontal="center" vertical="center"/>
      <protection locked="0"/>
    </xf>
    <xf numFmtId="0" fontId="17" fillId="2" borderId="20" xfId="4" applyFont="1" applyFill="1" applyBorder="1" applyAlignment="1">
      <alignment horizontal="left" vertical="center"/>
    </xf>
    <xf numFmtId="41" fontId="18" fillId="2" borderId="21" xfId="7" applyFont="1" applyFill="1" applyBorder="1" applyAlignment="1" applyProtection="1">
      <alignment vertical="center"/>
    </xf>
    <xf numFmtId="0" fontId="17" fillId="2" borderId="21" xfId="4" applyFont="1" applyFill="1" applyBorder="1" applyAlignment="1">
      <alignment horizontal="center" vertical="center"/>
    </xf>
    <xf numFmtId="0" fontId="17" fillId="2" borderId="21" xfId="4" applyFont="1" applyFill="1" applyBorder="1" applyAlignment="1" applyProtection="1">
      <alignment horizontal="left" vertical="center"/>
      <protection locked="0"/>
    </xf>
    <xf numFmtId="0" fontId="17" fillId="2" borderId="21" xfId="4" applyFont="1" applyFill="1" applyBorder="1" applyAlignment="1" applyProtection="1">
      <alignment horizontal="center" vertical="center" wrapText="1"/>
      <protection locked="0"/>
    </xf>
    <xf numFmtId="0" fontId="17" fillId="2" borderId="21" xfId="4" applyFont="1" applyFill="1" applyBorder="1" applyAlignment="1" applyProtection="1">
      <alignment horizontal="right" vertical="center" wrapText="1"/>
      <protection locked="0"/>
    </xf>
    <xf numFmtId="0" fontId="17" fillId="2" borderId="44" xfId="4" applyFont="1" applyFill="1" applyBorder="1" applyAlignment="1" applyProtection="1">
      <alignment horizontal="center" vertical="center" wrapText="1"/>
      <protection locked="0"/>
    </xf>
    <xf numFmtId="41" fontId="17" fillId="2" borderId="7" xfId="1" applyFont="1" applyFill="1" applyBorder="1" applyAlignment="1" applyProtection="1">
      <alignment horizontal="center" vertical="center" wrapText="1"/>
      <protection locked="0"/>
    </xf>
    <xf numFmtId="0" fontId="17" fillId="2" borderId="11" xfId="4" applyFont="1" applyFill="1" applyBorder="1" applyAlignment="1" applyProtection="1">
      <alignment horizontal="center" vertical="center" wrapText="1"/>
      <protection locked="0"/>
    </xf>
    <xf numFmtId="183" fontId="17" fillId="2" borderId="11" xfId="1" applyNumberFormat="1" applyFont="1" applyFill="1" applyBorder="1" applyAlignment="1" applyProtection="1">
      <alignment horizontal="center" vertical="center" wrapText="1"/>
      <protection locked="0"/>
    </xf>
    <xf numFmtId="0" fontId="17" fillId="2" borderId="8" xfId="4" applyFont="1" applyFill="1" applyBorder="1" applyAlignment="1" applyProtection="1">
      <alignment horizontal="left" vertical="center" wrapText="1"/>
      <protection locked="0"/>
    </xf>
    <xf numFmtId="199" fontId="17" fillId="2" borderId="6" xfId="4" applyNumberFormat="1" applyFont="1" applyFill="1" applyBorder="1" applyAlignment="1" applyProtection="1">
      <alignment horizontal="center" vertical="center" wrapText="1"/>
      <protection locked="0"/>
    </xf>
    <xf numFmtId="183" fontId="17" fillId="2" borderId="7" xfId="4" applyNumberFormat="1" applyFont="1" applyFill="1" applyBorder="1" applyAlignment="1" applyProtection="1">
      <alignment horizontal="center" vertical="center" wrapText="1"/>
      <protection locked="0"/>
    </xf>
    <xf numFmtId="0" fontId="17" fillId="2" borderId="6" xfId="4" applyFont="1" applyFill="1" applyBorder="1" applyAlignment="1" applyProtection="1">
      <alignment horizontal="center" vertical="center" wrapText="1"/>
      <protection locked="0"/>
    </xf>
    <xf numFmtId="0" fontId="17" fillId="2" borderId="11" xfId="4" applyFont="1" applyFill="1" applyBorder="1" applyAlignment="1" applyProtection="1">
      <alignment horizontal="left" vertical="center" wrapText="1"/>
      <protection locked="0"/>
    </xf>
    <xf numFmtId="183" fontId="17" fillId="2" borderId="11" xfId="4" applyNumberFormat="1" applyFont="1" applyFill="1" applyBorder="1" applyAlignment="1" applyProtection="1">
      <alignment horizontal="center" vertical="center" wrapText="1"/>
      <protection locked="0"/>
    </xf>
    <xf numFmtId="195" fontId="17" fillId="2" borderId="11" xfId="4" applyNumberFormat="1" applyFont="1" applyFill="1" applyBorder="1" applyAlignment="1" applyProtection="1">
      <alignment horizontal="center" vertical="center" wrapText="1"/>
      <protection locked="0"/>
    </xf>
    <xf numFmtId="9" fontId="17" fillId="2" borderId="11" xfId="4" applyNumberFormat="1" applyFont="1" applyFill="1" applyBorder="1" applyAlignment="1" applyProtection="1">
      <alignment horizontal="center" vertical="center" wrapText="1"/>
      <protection locked="0"/>
    </xf>
    <xf numFmtId="9" fontId="17" fillId="2" borderId="11" xfId="2" applyFont="1" applyFill="1" applyBorder="1" applyAlignment="1" applyProtection="1">
      <alignment horizontal="center" vertical="center"/>
      <protection locked="0"/>
    </xf>
    <xf numFmtId="0" fontId="19" fillId="2" borderId="11" xfId="4" applyFont="1" applyFill="1" applyBorder="1" applyAlignment="1" applyProtection="1">
      <alignment horizontal="left" vertical="center" wrapText="1"/>
      <protection locked="0"/>
    </xf>
    <xf numFmtId="0" fontId="18" fillId="2" borderId="48" xfId="4" applyFont="1" applyFill="1" applyBorder="1" applyAlignment="1">
      <alignment horizontal="left" vertical="center"/>
    </xf>
    <xf numFmtId="0" fontId="17" fillId="2" borderId="13" xfId="4" applyFont="1" applyFill="1" applyBorder="1" applyAlignment="1">
      <alignment horizontal="center" vertical="center"/>
    </xf>
    <xf numFmtId="200" fontId="17" fillId="2" borderId="29" xfId="4" applyNumberFormat="1" applyFont="1" applyFill="1" applyBorder="1" applyAlignment="1">
      <alignment horizontal="center" vertical="center"/>
    </xf>
    <xf numFmtId="0" fontId="17" fillId="2" borderId="57" xfId="4" applyFont="1" applyFill="1" applyBorder="1" applyAlignment="1">
      <alignment horizontal="center" vertical="center"/>
    </xf>
    <xf numFmtId="0" fontId="17" fillId="2" borderId="58" xfId="4" applyFont="1" applyFill="1" applyBorder="1" applyAlignment="1">
      <alignment horizontal="center" vertical="center"/>
    </xf>
    <xf numFmtId="0" fontId="11" fillId="0" borderId="42" xfId="4" applyFont="1" applyBorder="1" applyAlignment="1">
      <alignment horizontal="center" vertical="center"/>
    </xf>
    <xf numFmtId="0" fontId="17" fillId="2" borderId="42" xfId="4" applyFont="1" applyFill="1" applyBorder="1" applyAlignment="1">
      <alignment horizontal="center" vertical="center"/>
    </xf>
    <xf numFmtId="201" fontId="17" fillId="2" borderId="42" xfId="4" applyNumberFormat="1" applyFont="1" applyFill="1" applyBorder="1" applyAlignment="1">
      <alignment horizontal="center" vertical="center"/>
    </xf>
    <xf numFmtId="201" fontId="17" fillId="2" borderId="59" xfId="4" applyNumberFormat="1" applyFont="1" applyFill="1" applyBorder="1">
      <alignment vertical="center"/>
    </xf>
    <xf numFmtId="201" fontId="17" fillId="2" borderId="60" xfId="4" applyNumberFormat="1" applyFont="1" applyFill="1" applyBorder="1">
      <alignment vertical="center"/>
    </xf>
    <xf numFmtId="0" fontId="17" fillId="2" borderId="48" xfId="4" applyFont="1" applyFill="1" applyBorder="1" applyAlignment="1">
      <alignment horizontal="center" vertical="center"/>
    </xf>
    <xf numFmtId="0" fontId="17" fillId="2" borderId="0" xfId="4" applyFont="1" applyFill="1">
      <alignment vertical="center"/>
    </xf>
    <xf numFmtId="41" fontId="17" fillId="2" borderId="13" xfId="4" applyNumberFormat="1" applyFont="1" applyFill="1" applyBorder="1" applyAlignment="1">
      <alignment horizontal="right" vertical="center"/>
    </xf>
    <xf numFmtId="41" fontId="17" fillId="2" borderId="32" xfId="7" applyFont="1" applyFill="1" applyBorder="1" applyAlignment="1" applyProtection="1">
      <alignment horizontal="center" vertical="center"/>
    </xf>
    <xf numFmtId="203" fontId="17" fillId="2" borderId="29" xfId="4" applyNumberFormat="1" applyFont="1" applyFill="1" applyBorder="1" applyAlignment="1">
      <alignment horizontal="center" vertical="center"/>
    </xf>
    <xf numFmtId="203" fontId="17" fillId="2" borderId="29" xfId="7" applyNumberFormat="1" applyFont="1" applyFill="1" applyBorder="1" applyAlignment="1" applyProtection="1">
      <alignment horizontal="center" vertical="center"/>
    </xf>
    <xf numFmtId="0" fontId="17" fillId="2" borderId="68" xfId="4" applyFont="1" applyFill="1" applyBorder="1" applyAlignment="1">
      <alignment horizontal="center" vertical="center"/>
    </xf>
    <xf numFmtId="0" fontId="17" fillId="2" borderId="48" xfId="4" applyFont="1" applyFill="1" applyBorder="1" applyAlignment="1">
      <alignment horizontal="left" vertical="center"/>
    </xf>
    <xf numFmtId="41" fontId="17" fillId="2" borderId="32" xfId="7" applyFont="1" applyFill="1" applyBorder="1" applyAlignment="1" applyProtection="1">
      <alignment vertical="center"/>
    </xf>
    <xf numFmtId="41" fontId="18" fillId="2" borderId="62" xfId="7" applyFont="1" applyFill="1" applyBorder="1" applyAlignment="1" applyProtection="1">
      <alignment vertical="center"/>
    </xf>
    <xf numFmtId="0" fontId="17" fillId="2" borderId="62" xfId="4" applyFont="1" applyFill="1" applyBorder="1" applyAlignment="1">
      <alignment horizontal="center" vertical="center"/>
    </xf>
    <xf numFmtId="0" fontId="17" fillId="2" borderId="63" xfId="4" quotePrefix="1" applyFont="1" applyFill="1" applyBorder="1" applyAlignment="1">
      <alignment horizontal="center" vertical="center"/>
    </xf>
    <xf numFmtId="195" fontId="17" fillId="2" borderId="31" xfId="7" applyNumberFormat="1" applyFont="1" applyFill="1" applyBorder="1" applyAlignment="1" applyProtection="1">
      <alignment horizontal="center" vertical="center"/>
    </xf>
    <xf numFmtId="41" fontId="17" fillId="2" borderId="34" xfId="7" applyFont="1" applyFill="1" applyBorder="1" applyAlignment="1" applyProtection="1">
      <alignment vertical="center"/>
    </xf>
    <xf numFmtId="41" fontId="17" fillId="2" borderId="66" xfId="7" applyFont="1" applyFill="1" applyBorder="1" applyAlignment="1" applyProtection="1">
      <alignment vertical="center"/>
    </xf>
    <xf numFmtId="0" fontId="17" fillId="2" borderId="66" xfId="4" quotePrefix="1" applyFont="1" applyFill="1" applyBorder="1" applyAlignment="1">
      <alignment horizontal="center" vertical="center"/>
    </xf>
    <xf numFmtId="0" fontId="17" fillId="2" borderId="33" xfId="4" applyFont="1" applyFill="1" applyBorder="1">
      <alignment vertical="center"/>
    </xf>
    <xf numFmtId="195" fontId="17" fillId="2" borderId="29" xfId="7" applyNumberFormat="1" applyFont="1" applyFill="1" applyBorder="1" applyAlignment="1" applyProtection="1">
      <alignment horizontal="center" vertical="center"/>
    </xf>
    <xf numFmtId="41" fontId="17" fillId="2" borderId="40" xfId="7" applyFont="1" applyFill="1" applyBorder="1" applyAlignment="1" applyProtection="1">
      <alignment vertical="center"/>
    </xf>
    <xf numFmtId="41" fontId="17" fillId="2" borderId="13" xfId="4" quotePrefix="1" applyNumberFormat="1" applyFont="1" applyFill="1" applyBorder="1" applyAlignment="1">
      <alignment horizontal="left" vertical="center"/>
    </xf>
    <xf numFmtId="41" fontId="17" fillId="2" borderId="42" xfId="7" applyFont="1" applyFill="1" applyBorder="1" applyAlignment="1" applyProtection="1">
      <alignment vertical="center"/>
    </xf>
    <xf numFmtId="41" fontId="17" fillId="2" borderId="73" xfId="7" applyFont="1" applyFill="1" applyBorder="1" applyAlignment="1" applyProtection="1">
      <alignment vertical="center"/>
    </xf>
    <xf numFmtId="0" fontId="17" fillId="2" borderId="59" xfId="4" quotePrefix="1" applyFont="1" applyFill="1" applyBorder="1" applyAlignment="1">
      <alignment horizontal="center" vertical="center"/>
    </xf>
    <xf numFmtId="0" fontId="17" fillId="2" borderId="58" xfId="4" applyFont="1" applyFill="1" applyBorder="1">
      <alignment vertical="center"/>
    </xf>
    <xf numFmtId="195" fontId="17" fillId="2" borderId="42" xfId="7" applyNumberFormat="1" applyFont="1" applyFill="1" applyBorder="1" applyAlignment="1" applyProtection="1">
      <alignment horizontal="center" vertical="center"/>
    </xf>
    <xf numFmtId="41" fontId="17" fillId="2" borderId="43" xfId="7" applyFont="1" applyFill="1" applyBorder="1" applyAlignment="1" applyProtection="1">
      <alignment vertical="center"/>
    </xf>
    <xf numFmtId="41" fontId="17" fillId="2" borderId="76" xfId="4" quotePrefix="1" applyNumberFormat="1" applyFont="1" applyFill="1" applyBorder="1" applyAlignment="1">
      <alignment horizontal="left" vertical="center"/>
    </xf>
    <xf numFmtId="41" fontId="17" fillId="2" borderId="13" xfId="4" applyNumberFormat="1" applyFont="1" applyFill="1" applyBorder="1" applyAlignment="1">
      <alignment horizontal="center" vertical="center"/>
    </xf>
    <xf numFmtId="0" fontId="17" fillId="2" borderId="77" xfId="4" applyFont="1" applyFill="1" applyBorder="1" applyAlignment="1">
      <alignment horizontal="left" vertical="center"/>
    </xf>
    <xf numFmtId="41" fontId="17" fillId="2" borderId="15" xfId="7" applyFont="1" applyFill="1" applyBorder="1" applyAlignment="1" applyProtection="1">
      <alignment horizontal="center" vertical="center"/>
    </xf>
    <xf numFmtId="0" fontId="17" fillId="2" borderId="15" xfId="4" quotePrefix="1" applyFont="1" applyFill="1" applyBorder="1" applyAlignment="1">
      <alignment horizontal="center" vertical="center"/>
    </xf>
    <xf numFmtId="0" fontId="17" fillId="2" borderId="15" xfId="4" applyFont="1" applyFill="1" applyBorder="1">
      <alignment vertical="center"/>
    </xf>
    <xf numFmtId="1" fontId="21" fillId="2" borderId="15" xfId="4" applyNumberFormat="1" applyFont="1" applyFill="1" applyBorder="1" applyAlignment="1">
      <alignment horizontal="left" vertical="center"/>
    </xf>
    <xf numFmtId="41" fontId="17" fillId="2" borderId="16" xfId="4" applyNumberFormat="1" applyFont="1" applyFill="1" applyBorder="1" applyAlignment="1">
      <alignment horizontal="center" vertical="center"/>
    </xf>
    <xf numFmtId="0" fontId="17" fillId="2" borderId="61" xfId="4" applyFont="1" applyFill="1" applyBorder="1" applyAlignment="1">
      <alignment horizontal="center" vertical="center"/>
    </xf>
    <xf numFmtId="0" fontId="17" fillId="2" borderId="62" xfId="4" applyFont="1" applyFill="1" applyBorder="1">
      <alignment vertical="center"/>
    </xf>
    <xf numFmtId="0" fontId="6" fillId="0" borderId="62" xfId="4" applyBorder="1">
      <alignment vertical="center"/>
    </xf>
    <xf numFmtId="0" fontId="17" fillId="2" borderId="63" xfId="4" applyFont="1" applyFill="1" applyBorder="1" applyAlignment="1">
      <alignment horizontal="center" vertical="center"/>
    </xf>
    <xf numFmtId="201" fontId="17" fillId="2" borderId="79" xfId="4" applyNumberFormat="1" applyFont="1" applyFill="1" applyBorder="1" applyAlignment="1">
      <alignment horizontal="center" vertical="center"/>
    </xf>
    <xf numFmtId="203" fontId="17" fillId="2" borderId="80" xfId="4" applyNumberFormat="1" applyFont="1" applyFill="1" applyBorder="1" applyAlignment="1">
      <alignment horizontal="center" vertical="center"/>
    </xf>
    <xf numFmtId="203" fontId="17" fillId="2" borderId="80" xfId="7" applyNumberFormat="1" applyFont="1" applyFill="1" applyBorder="1" applyAlignment="1" applyProtection="1">
      <alignment horizontal="center" vertical="center"/>
    </xf>
    <xf numFmtId="41" fontId="17" fillId="2" borderId="0" xfId="8" applyFont="1" applyFill="1" applyBorder="1" applyAlignment="1" applyProtection="1">
      <alignment horizontal="center" vertical="center"/>
      <protection locked="0"/>
    </xf>
    <xf numFmtId="201" fontId="17" fillId="2" borderId="29" xfId="4" applyNumberFormat="1" applyFont="1" applyFill="1" applyBorder="1" applyAlignment="1">
      <alignment horizontal="center" vertical="center"/>
    </xf>
    <xf numFmtId="0" fontId="17" fillId="2" borderId="82" xfId="4" applyFont="1" applyFill="1" applyBorder="1" applyAlignment="1">
      <alignment horizontal="left" vertical="center"/>
    </xf>
    <xf numFmtId="0" fontId="17" fillId="2" borderId="9" xfId="4" applyFont="1" applyFill="1" applyBorder="1" applyAlignment="1">
      <alignment horizontal="center" vertical="center"/>
    </xf>
    <xf numFmtId="41" fontId="17" fillId="2" borderId="26" xfId="4" applyNumberFormat="1" applyFont="1" applyFill="1" applyBorder="1" applyAlignment="1">
      <alignment horizontal="right" vertical="center"/>
    </xf>
    <xf numFmtId="0" fontId="17" fillId="2" borderId="74" xfId="4" applyFont="1" applyFill="1" applyBorder="1" applyAlignment="1">
      <alignment horizontal="center" vertical="center"/>
    </xf>
    <xf numFmtId="0" fontId="17" fillId="2" borderId="8" xfId="4" applyFont="1" applyFill="1" applyBorder="1" applyAlignment="1" applyProtection="1">
      <alignment horizontal="right" vertical="center"/>
      <protection locked="0"/>
    </xf>
    <xf numFmtId="0" fontId="17" fillId="2" borderId="10" xfId="4" applyFont="1" applyFill="1" applyBorder="1" applyAlignment="1" applyProtection="1">
      <alignment horizontal="left" vertical="center"/>
      <protection locked="0"/>
    </xf>
    <xf numFmtId="0" fontId="17" fillId="2" borderId="65" xfId="4" applyFont="1" applyFill="1" applyBorder="1">
      <alignment vertical="center"/>
    </xf>
    <xf numFmtId="41" fontId="17" fillId="2" borderId="8" xfId="1" applyFont="1" applyFill="1" applyBorder="1" applyAlignment="1" applyProtection="1">
      <alignment horizontal="right" vertical="center"/>
      <protection locked="0"/>
    </xf>
    <xf numFmtId="0" fontId="22" fillId="2" borderId="85" xfId="4" applyFont="1" applyFill="1" applyBorder="1">
      <alignment vertical="center"/>
    </xf>
    <xf numFmtId="0" fontId="22" fillId="2" borderId="87" xfId="4" applyFont="1" applyFill="1" applyBorder="1">
      <alignment vertical="center"/>
    </xf>
    <xf numFmtId="0" fontId="17" fillId="2" borderId="10" xfId="4" applyFont="1" applyFill="1" applyBorder="1" applyAlignment="1" applyProtection="1">
      <alignment horizontal="center" vertical="center"/>
      <protection locked="0"/>
    </xf>
    <xf numFmtId="41" fontId="17" fillId="2" borderId="48" xfId="7" applyFont="1" applyFill="1" applyBorder="1" applyAlignment="1" applyProtection="1">
      <alignment horizontal="left" vertical="center"/>
    </xf>
    <xf numFmtId="41" fontId="17" fillId="2" borderId="0" xfId="4" applyNumberFormat="1" applyFont="1" applyFill="1" applyAlignment="1">
      <alignment horizontal="center" vertical="center"/>
    </xf>
    <xf numFmtId="0" fontId="17" fillId="2" borderId="15" xfId="4" applyFont="1" applyFill="1" applyBorder="1" applyAlignment="1">
      <alignment horizontal="center" vertical="center"/>
    </xf>
    <xf numFmtId="0" fontId="17" fillId="2" borderId="21" xfId="4" applyFont="1" applyFill="1" applyBorder="1" applyAlignment="1">
      <alignment horizontal="right" vertical="center"/>
    </xf>
    <xf numFmtId="0" fontId="17" fillId="2" borderId="49" xfId="4" applyFont="1" applyFill="1" applyBorder="1" applyAlignment="1">
      <alignment horizontal="center" vertical="center"/>
    </xf>
    <xf numFmtId="0" fontId="17" fillId="2" borderId="51" xfId="4" applyFont="1" applyFill="1" applyBorder="1" applyAlignment="1">
      <alignment horizontal="center" vertical="center"/>
    </xf>
    <xf numFmtId="0" fontId="17" fillId="2" borderId="52" xfId="4" applyFont="1" applyFill="1" applyBorder="1" applyAlignment="1">
      <alignment horizontal="center" vertical="center"/>
    </xf>
    <xf numFmtId="0" fontId="17" fillId="2" borderId="50" xfId="4" applyFont="1" applyFill="1" applyBorder="1">
      <alignment vertical="center"/>
    </xf>
    <xf numFmtId="0" fontId="17" fillId="2" borderId="75" xfId="4" applyFont="1" applyFill="1" applyBorder="1">
      <alignment vertical="center"/>
    </xf>
    <xf numFmtId="201" fontId="11" fillId="0" borderId="42" xfId="4" applyNumberFormat="1" applyFont="1" applyBorder="1" applyAlignment="1">
      <alignment horizontal="center" vertical="center"/>
    </xf>
    <xf numFmtId="203" fontId="17" fillId="2" borderId="42" xfId="4" applyNumberFormat="1" applyFont="1" applyFill="1" applyBorder="1" applyAlignment="1">
      <alignment horizontal="center" vertical="center"/>
    </xf>
    <xf numFmtId="0" fontId="17" fillId="2" borderId="65" xfId="4" applyFont="1" applyFill="1" applyBorder="1" applyAlignment="1">
      <alignment horizontal="center" vertical="center"/>
    </xf>
    <xf numFmtId="0" fontId="22" fillId="2" borderId="85" xfId="4" applyFont="1" applyFill="1" applyBorder="1" applyAlignment="1">
      <alignment horizontal="center" vertical="center"/>
    </xf>
    <xf numFmtId="0" fontId="17" fillId="2" borderId="80" xfId="4" applyFont="1" applyFill="1" applyBorder="1" applyAlignment="1">
      <alignment horizontal="center" vertical="center"/>
    </xf>
    <xf numFmtId="0" fontId="17" fillId="2" borderId="87" xfId="4" applyFont="1" applyFill="1" applyBorder="1">
      <alignment vertical="center"/>
    </xf>
    <xf numFmtId="0" fontId="23" fillId="2" borderId="12" xfId="4" applyFont="1" applyFill="1" applyBorder="1" applyAlignment="1" applyProtection="1">
      <alignment horizontal="center" vertical="center"/>
      <protection locked="0"/>
    </xf>
    <xf numFmtId="3" fontId="17" fillId="2" borderId="29" xfId="4" applyNumberFormat="1" applyFont="1" applyFill="1" applyBorder="1" applyAlignment="1">
      <alignment horizontal="center" vertical="center"/>
    </xf>
    <xf numFmtId="0" fontId="17" fillId="2" borderId="66" xfId="4" applyFont="1" applyFill="1" applyBorder="1" applyAlignment="1">
      <alignment horizontal="center" vertical="center"/>
    </xf>
    <xf numFmtId="41" fontId="17" fillId="2" borderId="66" xfId="4" applyNumberFormat="1" applyFont="1" applyFill="1" applyBorder="1">
      <alignment vertical="center"/>
    </xf>
    <xf numFmtId="0" fontId="23" fillId="4" borderId="12" xfId="4" applyFont="1" applyFill="1" applyBorder="1" applyAlignment="1" applyProtection="1">
      <alignment horizontal="center" vertical="center"/>
      <protection locked="0"/>
    </xf>
    <xf numFmtId="0" fontId="18" fillId="2" borderId="42" xfId="4" applyFont="1" applyFill="1" applyBorder="1" applyAlignment="1">
      <alignment horizontal="left" vertical="center"/>
    </xf>
    <xf numFmtId="3" fontId="17" fillId="2" borderId="34" xfId="4" applyNumberFormat="1" applyFont="1" applyFill="1" applyBorder="1">
      <alignment vertical="center"/>
    </xf>
    <xf numFmtId="0" fontId="6" fillId="0" borderId="66" xfId="4" applyBorder="1">
      <alignment vertical="center"/>
    </xf>
    <xf numFmtId="3" fontId="17" fillId="2" borderId="34" xfId="4" applyNumberFormat="1" applyFont="1" applyFill="1" applyBorder="1" applyAlignment="1">
      <alignment horizontal="center" vertical="center"/>
    </xf>
    <xf numFmtId="195" fontId="17" fillId="2" borderId="33" xfId="7" applyNumberFormat="1" applyFont="1" applyFill="1" applyBorder="1" applyAlignment="1" applyProtection="1">
      <alignment horizontal="center" vertical="center"/>
    </xf>
    <xf numFmtId="0" fontId="17" fillId="2" borderId="85" xfId="4" applyFont="1" applyFill="1" applyBorder="1" applyAlignment="1">
      <alignment horizontal="center" vertical="center"/>
    </xf>
    <xf numFmtId="0" fontId="17" fillId="2" borderId="87" xfId="4" applyFont="1" applyFill="1" applyBorder="1" applyAlignment="1">
      <alignment horizontal="center" vertical="center"/>
    </xf>
    <xf numFmtId="3" fontId="17" fillId="2" borderId="73" xfId="4" applyNumberFormat="1" applyFont="1" applyFill="1" applyBorder="1">
      <alignment vertical="center"/>
    </xf>
    <xf numFmtId="3" fontId="17" fillId="2" borderId="73" xfId="4" applyNumberFormat="1" applyFont="1" applyFill="1" applyBorder="1" applyAlignment="1">
      <alignment horizontal="center" vertical="center"/>
    </xf>
    <xf numFmtId="0" fontId="24" fillId="2" borderId="48" xfId="4" applyFont="1" applyFill="1" applyBorder="1" applyAlignment="1">
      <alignment horizontal="left" vertical="center"/>
    </xf>
    <xf numFmtId="41" fontId="18" fillId="2" borderId="15" xfId="7" applyFont="1" applyFill="1" applyBorder="1" applyAlignment="1" applyProtection="1">
      <alignment vertical="center"/>
    </xf>
    <xf numFmtId="0" fontId="17" fillId="2" borderId="14" xfId="4" applyFont="1" applyFill="1" applyBorder="1" applyAlignment="1">
      <alignment horizontal="left" vertical="center"/>
    </xf>
    <xf numFmtId="0" fontId="16" fillId="2" borderId="18" xfId="4" applyFont="1" applyFill="1" applyBorder="1" applyAlignment="1" applyProtection="1">
      <alignment horizontal="left" vertical="center"/>
      <protection locked="0"/>
    </xf>
    <xf numFmtId="0" fontId="17" fillId="2" borderId="25" xfId="4" applyFont="1" applyFill="1" applyBorder="1" applyAlignment="1" applyProtection="1">
      <alignment horizontal="left" vertical="center"/>
      <protection locked="0"/>
    </xf>
    <xf numFmtId="0" fontId="17" fillId="2" borderId="25" xfId="4" applyFont="1" applyFill="1" applyBorder="1" applyAlignment="1" applyProtection="1">
      <alignment horizontal="center" vertical="center"/>
      <protection locked="0"/>
    </xf>
    <xf numFmtId="0" fontId="17" fillId="2" borderId="19" xfId="4" applyFont="1" applyFill="1" applyBorder="1" applyAlignment="1" applyProtection="1">
      <alignment horizontal="center" vertical="center"/>
      <protection locked="0"/>
    </xf>
    <xf numFmtId="0" fontId="18" fillId="2" borderId="12" xfId="4" applyFont="1" applyFill="1" applyBorder="1" applyAlignment="1" applyProtection="1">
      <alignment horizontal="left" vertical="center"/>
      <protection locked="0"/>
    </xf>
    <xf numFmtId="0" fontId="17" fillId="2" borderId="0" xfId="4" applyFont="1" applyFill="1" applyAlignment="1" applyProtection="1">
      <alignment horizontal="left" vertical="center"/>
      <protection locked="0"/>
    </xf>
    <xf numFmtId="0" fontId="17" fillId="2" borderId="27" xfId="4" applyFont="1" applyFill="1" applyBorder="1" applyAlignment="1" applyProtection="1">
      <alignment horizontal="center" vertical="center"/>
      <protection locked="0"/>
    </xf>
    <xf numFmtId="0" fontId="17" fillId="2" borderId="91" xfId="4" applyFont="1" applyFill="1" applyBorder="1" applyAlignment="1" applyProtection="1">
      <alignment horizontal="center" vertical="center"/>
      <protection locked="0"/>
    </xf>
    <xf numFmtId="0" fontId="17" fillId="2" borderId="93" xfId="4" applyFont="1" applyFill="1" applyBorder="1" applyAlignment="1" applyProtection="1">
      <alignment horizontal="center" vertical="center"/>
      <protection locked="0"/>
    </xf>
    <xf numFmtId="0" fontId="17" fillId="2" borderId="92" xfId="4" applyFont="1" applyFill="1" applyBorder="1" applyAlignment="1" applyProtection="1">
      <alignment horizontal="center" vertical="center"/>
      <protection locked="0"/>
    </xf>
    <xf numFmtId="0" fontId="17" fillId="2" borderId="94" xfId="4" applyFont="1" applyFill="1" applyBorder="1" applyAlignment="1" applyProtection="1">
      <alignment horizontal="center" vertical="center"/>
      <protection locked="0"/>
    </xf>
    <xf numFmtId="0" fontId="17" fillId="2" borderId="56" xfId="4" applyFont="1" applyFill="1" applyBorder="1" applyAlignment="1" applyProtection="1">
      <alignment horizontal="center" vertical="center"/>
      <protection locked="0"/>
    </xf>
    <xf numFmtId="0" fontId="17" fillId="2" borderId="54" xfId="4" applyFont="1" applyFill="1" applyBorder="1" applyAlignment="1" applyProtection="1">
      <alignment horizontal="center" vertical="center"/>
      <protection locked="0"/>
    </xf>
    <xf numFmtId="0" fontId="17" fillId="2" borderId="63" xfId="4" applyFont="1" applyFill="1" applyBorder="1" applyAlignment="1" applyProtection="1">
      <alignment horizontal="left" vertical="center"/>
      <protection locked="0"/>
    </xf>
    <xf numFmtId="41" fontId="17" fillId="2" borderId="54" xfId="7" applyFont="1" applyFill="1" applyBorder="1" applyAlignment="1" applyProtection="1">
      <alignment vertical="center"/>
      <protection locked="0"/>
    </xf>
    <xf numFmtId="41" fontId="17" fillId="2" borderId="95" xfId="4" applyNumberFormat="1" applyFont="1" applyFill="1" applyBorder="1" applyAlignment="1" applyProtection="1">
      <alignment horizontal="center" vertical="center"/>
      <protection locked="0"/>
    </xf>
    <xf numFmtId="0" fontId="17" fillId="2" borderId="38" xfId="4" applyFont="1" applyFill="1" applyBorder="1" applyAlignment="1" applyProtection="1">
      <alignment horizontal="center" vertical="center"/>
      <protection locked="0"/>
    </xf>
    <xf numFmtId="0" fontId="17" fillId="2" borderId="34" xfId="4" applyFont="1" applyFill="1" applyBorder="1" applyProtection="1">
      <alignment vertical="center"/>
      <protection locked="0"/>
    </xf>
    <xf numFmtId="0" fontId="17" fillId="2" borderId="33" xfId="4" applyFont="1" applyFill="1" applyBorder="1" applyProtection="1">
      <alignment vertical="center"/>
      <protection locked="0"/>
    </xf>
    <xf numFmtId="0" fontId="17" fillId="2" borderId="34" xfId="4" applyFont="1" applyFill="1" applyBorder="1" applyAlignment="1" applyProtection="1">
      <alignment horizontal="center" vertical="center"/>
      <protection locked="0"/>
    </xf>
    <xf numFmtId="0" fontId="17" fillId="2" borderId="55" xfId="4" applyFont="1" applyFill="1" applyBorder="1" applyAlignment="1" applyProtection="1">
      <alignment horizontal="left" vertical="center"/>
      <protection locked="0"/>
    </xf>
    <xf numFmtId="41" fontId="17" fillId="2" borderId="96" xfId="4" applyNumberFormat="1" applyFont="1" applyFill="1" applyBorder="1" applyAlignment="1" applyProtection="1">
      <alignment horizontal="center" vertical="center"/>
      <protection locked="0"/>
    </xf>
    <xf numFmtId="0" fontId="17" fillId="2" borderId="96" xfId="4" applyFont="1" applyFill="1" applyBorder="1" applyAlignment="1" applyProtection="1">
      <alignment horizontal="center" vertical="center"/>
      <protection locked="0"/>
    </xf>
    <xf numFmtId="0" fontId="17" fillId="2" borderId="59" xfId="4" applyFont="1" applyFill="1" applyBorder="1" applyAlignment="1" applyProtection="1">
      <alignment horizontal="center" vertical="center"/>
      <protection locked="0"/>
    </xf>
    <xf numFmtId="0" fontId="17" fillId="2" borderId="59" xfId="4" applyFont="1" applyFill="1" applyBorder="1" applyAlignment="1" applyProtection="1">
      <alignment horizontal="left" vertical="center"/>
      <protection locked="0"/>
    </xf>
    <xf numFmtId="41" fontId="18" fillId="2" borderId="59" xfId="4" applyNumberFormat="1" applyFont="1" applyFill="1" applyBorder="1" applyAlignment="1" applyProtection="1">
      <alignment horizontal="center" vertical="center"/>
      <protection locked="0"/>
    </xf>
    <xf numFmtId="0" fontId="18" fillId="2" borderId="59" xfId="4" applyFont="1" applyFill="1" applyBorder="1" applyAlignment="1" applyProtection="1">
      <alignment horizontal="left" vertical="center"/>
      <protection locked="0"/>
    </xf>
    <xf numFmtId="0" fontId="17" fillId="2" borderId="73" xfId="4" applyFont="1" applyFill="1" applyBorder="1" applyAlignment="1" applyProtection="1">
      <alignment horizontal="left" vertical="center"/>
      <protection locked="0"/>
    </xf>
    <xf numFmtId="41" fontId="17" fillId="2" borderId="98" xfId="4" applyNumberFormat="1" applyFont="1" applyFill="1" applyBorder="1" applyAlignment="1" applyProtection="1">
      <alignment horizontal="center" vertical="center"/>
      <protection locked="0"/>
    </xf>
    <xf numFmtId="0" fontId="17" fillId="2" borderId="12" xfId="4" applyFont="1" applyFill="1" applyBorder="1" applyAlignment="1" applyProtection="1">
      <alignment horizontal="left" vertical="center"/>
      <protection locked="0"/>
    </xf>
    <xf numFmtId="41" fontId="17" fillId="2" borderId="27" xfId="4" applyNumberFormat="1" applyFont="1" applyFill="1" applyBorder="1" applyAlignment="1" applyProtection="1">
      <alignment horizontal="right" vertical="center"/>
      <protection locked="0"/>
    </xf>
    <xf numFmtId="41" fontId="17" fillId="2" borderId="31" xfId="7" applyFont="1" applyFill="1" applyBorder="1" applyAlignment="1" applyProtection="1">
      <alignment horizontal="center" vertical="center"/>
      <protection locked="0"/>
    </xf>
    <xf numFmtId="41" fontId="17" fillId="2" borderId="29" xfId="7" applyFont="1" applyFill="1" applyBorder="1" applyAlignment="1" applyProtection="1">
      <alignment horizontal="center" vertical="center"/>
      <protection locked="0"/>
    </xf>
    <xf numFmtId="41" fontId="17" fillId="2" borderId="42" xfId="7" applyFont="1" applyFill="1" applyBorder="1" applyAlignment="1" applyProtection="1">
      <alignment horizontal="center" vertical="center"/>
      <protection locked="0"/>
    </xf>
    <xf numFmtId="0" fontId="17" fillId="2" borderId="20" xfId="4" applyFont="1" applyFill="1" applyBorder="1" applyAlignment="1" applyProtection="1">
      <alignment horizontal="center" vertical="center"/>
      <protection locked="0"/>
    </xf>
    <xf numFmtId="0" fontId="17" fillId="2" borderId="21" xfId="4" applyFont="1" applyFill="1" applyBorder="1" applyAlignment="1" applyProtection="1">
      <alignment horizontal="center" vertical="center"/>
      <protection locked="0"/>
    </xf>
    <xf numFmtId="0" fontId="17" fillId="2" borderId="17" xfId="4" applyFont="1" applyFill="1" applyBorder="1" applyAlignment="1" applyProtection="1">
      <alignment horizontal="center" vertical="center"/>
      <protection locked="0"/>
    </xf>
    <xf numFmtId="0" fontId="7" fillId="2" borderId="18" xfId="4" applyFont="1" applyFill="1" applyBorder="1" applyAlignment="1" applyProtection="1">
      <alignment horizontal="left" vertical="center"/>
      <protection locked="0"/>
    </xf>
    <xf numFmtId="0" fontId="17" fillId="2" borderId="9" xfId="4" applyFont="1" applyFill="1" applyBorder="1" applyAlignment="1" applyProtection="1">
      <alignment horizontal="center" vertical="center"/>
      <protection locked="0"/>
    </xf>
    <xf numFmtId="0" fontId="17" fillId="2" borderId="89" xfId="4" applyFont="1" applyFill="1" applyBorder="1" applyAlignment="1" applyProtection="1">
      <alignment horizontal="left" vertical="center"/>
      <protection locked="0"/>
    </xf>
    <xf numFmtId="41" fontId="17" fillId="2" borderId="63" xfId="7" applyFont="1" applyFill="1" applyBorder="1" applyAlignment="1" applyProtection="1">
      <alignment horizontal="center" vertical="center"/>
      <protection locked="0"/>
    </xf>
    <xf numFmtId="0" fontId="17" fillId="2" borderId="56" xfId="4" applyFont="1" applyFill="1" applyBorder="1" applyAlignment="1" applyProtection="1">
      <alignment horizontal="left" vertical="center"/>
      <protection locked="0"/>
    </xf>
    <xf numFmtId="41" fontId="17" fillId="2" borderId="54" xfId="7" applyFont="1" applyFill="1" applyBorder="1" applyAlignment="1" applyProtection="1">
      <alignment horizontal="center" vertical="center"/>
      <protection locked="0"/>
    </xf>
    <xf numFmtId="41" fontId="17" fillId="2" borderId="33" xfId="7" applyFont="1" applyFill="1" applyBorder="1" applyAlignment="1" applyProtection="1">
      <alignment horizontal="center" vertical="center"/>
      <protection locked="0"/>
    </xf>
    <xf numFmtId="41" fontId="17" fillId="2" borderId="29" xfId="4" applyNumberFormat="1" applyFont="1" applyFill="1" applyBorder="1" applyAlignment="1" applyProtection="1">
      <alignment horizontal="center" vertical="center"/>
      <protection locked="0"/>
    </xf>
    <xf numFmtId="41" fontId="17" fillId="2" borderId="34" xfId="7" applyFont="1" applyFill="1" applyBorder="1" applyAlignment="1" applyProtection="1">
      <alignment horizontal="left" vertical="center"/>
      <protection locked="0"/>
    </xf>
    <xf numFmtId="41" fontId="17" fillId="2" borderId="33" xfId="4" quotePrefix="1" applyNumberFormat="1" applyFont="1" applyFill="1" applyBorder="1" applyAlignment="1" applyProtection="1">
      <alignment horizontal="left" vertical="center"/>
      <protection locked="0"/>
    </xf>
    <xf numFmtId="0" fontId="17" fillId="2" borderId="33" xfId="4" quotePrefix="1" applyFont="1" applyFill="1" applyBorder="1" applyAlignment="1" applyProtection="1">
      <alignment horizontal="left" vertical="center"/>
      <protection locked="0"/>
    </xf>
    <xf numFmtId="0" fontId="17" fillId="2" borderId="41" xfId="4" applyFont="1" applyFill="1" applyBorder="1" applyAlignment="1" applyProtection="1">
      <alignment horizontal="center" vertical="center"/>
      <protection locked="0"/>
    </xf>
    <xf numFmtId="41" fontId="17" fillId="2" borderId="27" xfId="4" applyNumberFormat="1" applyFont="1" applyFill="1" applyBorder="1" applyAlignment="1" applyProtection="1">
      <alignment horizontal="center" vertical="center"/>
      <protection locked="0"/>
    </xf>
    <xf numFmtId="41" fontId="18" fillId="2" borderId="0" xfId="7" applyFont="1" applyFill="1" applyBorder="1" applyAlignment="1" applyProtection="1">
      <alignment vertical="center"/>
      <protection locked="0"/>
    </xf>
    <xf numFmtId="0" fontId="17" fillId="2" borderId="0" xfId="4" quotePrefix="1" applyFont="1" applyFill="1" applyAlignment="1" applyProtection="1">
      <alignment horizontal="center" vertical="center"/>
      <protection locked="0"/>
    </xf>
    <xf numFmtId="0" fontId="17" fillId="2" borderId="12" xfId="4" applyFont="1" applyFill="1" applyBorder="1" applyAlignment="1" applyProtection="1">
      <alignment horizontal="center" vertical="center"/>
      <protection locked="0"/>
    </xf>
    <xf numFmtId="41" fontId="17" fillId="2" borderId="0" xfId="7" applyFont="1" applyFill="1" applyBorder="1" applyAlignment="1" applyProtection="1">
      <alignment vertical="center"/>
      <protection locked="0"/>
    </xf>
    <xf numFmtId="41" fontId="17" fillId="2" borderId="27" xfId="4" quotePrefix="1" applyNumberFormat="1" applyFont="1" applyFill="1" applyBorder="1" applyAlignment="1" applyProtection="1">
      <alignment horizontal="left" vertical="center"/>
      <protection locked="0"/>
    </xf>
    <xf numFmtId="0" fontId="17" fillId="2" borderId="0" xfId="4" quotePrefix="1" applyFont="1" applyFill="1" applyProtection="1">
      <alignment vertical="center"/>
      <protection locked="0"/>
    </xf>
    <xf numFmtId="1" fontId="21" fillId="2" borderId="0" xfId="4" applyNumberFormat="1" applyFont="1" applyFill="1" applyAlignment="1" applyProtection="1">
      <alignment horizontal="left" vertical="center"/>
      <protection locked="0"/>
    </xf>
    <xf numFmtId="0" fontId="25" fillId="2" borderId="12" xfId="4" applyFont="1" applyFill="1" applyBorder="1" applyAlignment="1" applyProtection="1">
      <alignment horizontal="center" vertical="center"/>
      <protection locked="0"/>
    </xf>
    <xf numFmtId="0" fontId="25" fillId="2" borderId="0" xfId="4" applyFont="1" applyFill="1" applyAlignment="1" applyProtection="1">
      <alignment horizontal="center" vertical="center"/>
      <protection locked="0"/>
    </xf>
    <xf numFmtId="41" fontId="25" fillId="2" borderId="0" xfId="7" applyFont="1" applyFill="1" applyBorder="1" applyAlignment="1" applyProtection="1">
      <alignment horizontal="center" vertical="center"/>
      <protection locked="0"/>
    </xf>
    <xf numFmtId="0" fontId="25" fillId="2" borderId="27" xfId="4" applyFont="1" applyFill="1" applyBorder="1" applyAlignment="1" applyProtection="1">
      <alignment horizontal="left" vertical="center"/>
      <protection locked="0"/>
    </xf>
    <xf numFmtId="41" fontId="25" fillId="2" borderId="0" xfId="4" applyNumberFormat="1" applyFont="1" applyFill="1" applyProtection="1">
      <alignment vertical="center"/>
      <protection locked="0"/>
    </xf>
    <xf numFmtId="41" fontId="18" fillId="2" borderId="0" xfId="7" applyFont="1" applyFill="1" applyBorder="1" applyAlignment="1" applyProtection="1">
      <alignment horizontal="center" vertical="center"/>
      <protection locked="0"/>
    </xf>
    <xf numFmtId="41" fontId="17" fillId="2" borderId="0" xfId="7" applyFont="1" applyFill="1" applyBorder="1" applyAlignment="1" applyProtection="1">
      <alignment horizontal="center" vertical="center"/>
      <protection locked="0"/>
    </xf>
    <xf numFmtId="0" fontId="18" fillId="2" borderId="0" xfId="4" applyFont="1" applyFill="1" applyProtection="1">
      <alignment vertical="center"/>
      <protection locked="0"/>
    </xf>
    <xf numFmtId="41" fontId="17" fillId="2" borderId="21" xfId="4" applyNumberFormat="1" applyFont="1" applyFill="1" applyBorder="1" applyAlignment="1" applyProtection="1">
      <alignment horizontal="center" vertical="center"/>
      <protection locked="0"/>
    </xf>
    <xf numFmtId="41" fontId="17" fillId="2" borderId="21" xfId="7" applyFont="1" applyFill="1" applyBorder="1" applyAlignment="1" applyProtection="1">
      <alignment horizontal="center" vertical="center"/>
      <protection locked="0"/>
    </xf>
    <xf numFmtId="41" fontId="17" fillId="2" borderId="17" xfId="4" applyNumberFormat="1" applyFont="1" applyFill="1" applyBorder="1" applyAlignment="1" applyProtection="1">
      <alignment horizontal="center" vertical="center"/>
      <protection locked="0"/>
    </xf>
    <xf numFmtId="41" fontId="17" fillId="2" borderId="56" xfId="7" applyFont="1" applyFill="1" applyBorder="1" applyAlignment="1" applyProtection="1">
      <alignment horizontal="center" vertical="center"/>
      <protection locked="0"/>
    </xf>
    <xf numFmtId="41" fontId="17" fillId="2" borderId="56" xfId="4" applyNumberFormat="1" applyFont="1" applyFill="1" applyBorder="1" applyAlignment="1" applyProtection="1">
      <alignment horizontal="left" vertical="center"/>
      <protection locked="0"/>
    </xf>
    <xf numFmtId="41" fontId="17" fillId="2" borderId="29" xfId="4" quotePrefix="1" applyNumberFormat="1" applyFont="1" applyFill="1" applyBorder="1" applyAlignment="1" applyProtection="1">
      <alignment horizontal="left" vertical="center"/>
      <protection locked="0"/>
    </xf>
    <xf numFmtId="0" fontId="17" fillId="2" borderId="29" xfId="4" quotePrefix="1" applyFont="1" applyFill="1" applyBorder="1" applyAlignment="1" applyProtection="1">
      <alignment horizontal="left" vertical="center"/>
      <protection locked="0"/>
    </xf>
    <xf numFmtId="41" fontId="17" fillId="2" borderId="0" xfId="7" applyFont="1" applyFill="1" applyBorder="1" applyAlignment="1" applyProtection="1">
      <alignment horizontal="left" vertical="center"/>
      <protection locked="0"/>
    </xf>
    <xf numFmtId="0" fontId="17" fillId="2" borderId="0" xfId="4" quotePrefix="1" applyFont="1" applyFill="1" applyAlignment="1" applyProtection="1">
      <alignment horizontal="left" vertical="center"/>
      <protection locked="0"/>
    </xf>
    <xf numFmtId="0" fontId="17" fillId="2" borderId="56" xfId="4" applyFont="1" applyFill="1" applyBorder="1" applyProtection="1">
      <alignment vertical="center"/>
      <protection locked="0"/>
    </xf>
    <xf numFmtId="0" fontId="17" fillId="4" borderId="11" xfId="4" applyFont="1" applyFill="1" applyBorder="1" applyAlignment="1" applyProtection="1">
      <alignment horizontal="center" vertical="center"/>
      <protection locked="0"/>
    </xf>
    <xf numFmtId="0" fontId="17" fillId="4" borderId="28" xfId="4" applyFont="1" applyFill="1" applyBorder="1" applyAlignment="1" applyProtection="1">
      <alignment horizontal="right" vertical="center"/>
      <protection locked="0"/>
    </xf>
    <xf numFmtId="0" fontId="17" fillId="4" borderId="10" xfId="4" applyFont="1" applyFill="1" applyBorder="1" applyAlignment="1" applyProtection="1">
      <alignment horizontal="center" vertical="center"/>
      <protection locked="0"/>
    </xf>
    <xf numFmtId="0" fontId="17" fillId="2" borderId="0" xfId="4" applyFont="1" applyFill="1" applyAlignment="1" applyProtection="1">
      <alignment horizontal="right" vertical="center"/>
      <protection locked="0"/>
    </xf>
    <xf numFmtId="200" fontId="17" fillId="2" borderId="33" xfId="4" applyNumberFormat="1" applyFont="1" applyFill="1" applyBorder="1" applyAlignment="1">
      <alignment horizontal="left" vertical="center"/>
    </xf>
    <xf numFmtId="41" fontId="17" fillId="2" borderId="71" xfId="4" applyNumberFormat="1" applyFont="1" applyFill="1" applyBorder="1" applyAlignment="1">
      <alignment horizontal="center" vertical="center"/>
    </xf>
    <xf numFmtId="0" fontId="17" fillId="2" borderId="70" xfId="4" applyFont="1" applyFill="1" applyBorder="1" applyAlignment="1">
      <alignment horizontal="center" vertical="center"/>
    </xf>
    <xf numFmtId="41" fontId="17" fillId="2" borderId="66" xfId="4" quotePrefix="1" applyNumberFormat="1" applyFont="1" applyFill="1" applyBorder="1" applyAlignment="1">
      <alignment horizontal="left" vertical="center"/>
    </xf>
    <xf numFmtId="0" fontId="17" fillId="2" borderId="66" xfId="4" applyFont="1" applyFill="1" applyBorder="1" applyAlignment="1">
      <alignment horizontal="left" vertical="center"/>
    </xf>
    <xf numFmtId="41" fontId="17" fillId="2" borderId="34" xfId="7" applyFont="1" applyFill="1" applyBorder="1" applyAlignment="1" applyProtection="1">
      <alignment horizontal="left" vertical="center"/>
    </xf>
    <xf numFmtId="0" fontId="17" fillId="2" borderId="71" xfId="4" applyFont="1" applyFill="1" applyBorder="1" applyAlignment="1">
      <alignment horizontal="center" vertical="center"/>
    </xf>
    <xf numFmtId="200" fontId="17" fillId="2" borderId="58" xfId="4" applyNumberFormat="1" applyFont="1" applyFill="1" applyBorder="1" applyAlignment="1">
      <alignment horizontal="left" vertical="center"/>
    </xf>
    <xf numFmtId="41" fontId="17" fillId="2" borderId="60" xfId="4" applyNumberFormat="1" applyFont="1" applyFill="1" applyBorder="1" applyAlignment="1">
      <alignment horizontal="center" vertical="center"/>
    </xf>
    <xf numFmtId="0" fontId="17" fillId="4" borderId="0" xfId="4" applyFont="1" applyFill="1" applyAlignment="1" applyProtection="1">
      <alignment horizontal="center" vertical="center"/>
      <protection locked="0"/>
    </xf>
    <xf numFmtId="0" fontId="17" fillId="4" borderId="0" xfId="4" applyFont="1" applyFill="1" applyAlignment="1" applyProtection="1">
      <alignment horizontal="right" vertical="center"/>
      <protection locked="0"/>
    </xf>
    <xf numFmtId="0" fontId="17" fillId="4" borderId="10" xfId="4" applyFont="1" applyFill="1" applyBorder="1" applyAlignment="1" applyProtection="1">
      <alignment horizontal="left" vertical="center"/>
      <protection locked="0"/>
    </xf>
    <xf numFmtId="41" fontId="17" fillId="2" borderId="31" xfId="7" applyFont="1" applyFill="1" applyBorder="1" applyAlignment="1" applyProtection="1">
      <alignment horizontal="center" vertical="center"/>
    </xf>
    <xf numFmtId="41" fontId="17" fillId="2" borderId="29" xfId="7" applyFont="1" applyFill="1" applyBorder="1" applyAlignment="1" applyProtection="1">
      <alignment horizontal="left" vertical="center"/>
    </xf>
    <xf numFmtId="41" fontId="17" fillId="2" borderId="29" xfId="7" applyFont="1" applyFill="1" applyBorder="1" applyAlignment="1" applyProtection="1">
      <alignment horizontal="center" vertical="center"/>
    </xf>
    <xf numFmtId="0" fontId="17" fillId="2" borderId="73" xfId="4" quotePrefix="1" applyFont="1" applyFill="1" applyBorder="1" applyAlignment="1">
      <alignment horizontal="center" vertical="center"/>
    </xf>
    <xf numFmtId="41" fontId="17" fillId="2" borderId="42" xfId="7" applyFont="1" applyFill="1" applyBorder="1" applyAlignment="1" applyProtection="1">
      <alignment horizontal="center" vertical="center"/>
    </xf>
    <xf numFmtId="41" fontId="17" fillId="2" borderId="42" xfId="7" applyFont="1" applyFill="1" applyBorder="1" applyAlignment="1" applyProtection="1">
      <alignment horizontal="left" vertical="center"/>
    </xf>
    <xf numFmtId="1" fontId="21" fillId="2" borderId="0" xfId="4" applyNumberFormat="1" applyFont="1" applyFill="1" applyAlignment="1">
      <alignment horizontal="left" vertical="center"/>
    </xf>
    <xf numFmtId="41" fontId="17" fillId="2" borderId="0" xfId="4" applyNumberFormat="1" applyFont="1" applyFill="1" applyAlignment="1" applyProtection="1">
      <alignment horizontal="left" vertical="center"/>
      <protection locked="0"/>
    </xf>
    <xf numFmtId="0" fontId="27" fillId="0" borderId="0" xfId="4" applyFont="1" applyProtection="1">
      <alignment vertical="center"/>
      <protection locked="0"/>
    </xf>
    <xf numFmtId="0" fontId="27" fillId="0" borderId="0" xfId="4" applyFont="1" applyAlignment="1" applyProtection="1">
      <alignment horizontal="center" vertical="center"/>
      <protection locked="0"/>
    </xf>
    <xf numFmtId="0" fontId="6" fillId="0" borderId="0" xfId="4" applyAlignment="1" applyProtection="1">
      <alignment horizontal="center" vertical="center"/>
      <protection locked="0"/>
    </xf>
    <xf numFmtId="0" fontId="18" fillId="2" borderId="80" xfId="4" applyFont="1" applyFill="1" applyBorder="1" applyAlignment="1">
      <alignment horizontal="left" vertical="center"/>
    </xf>
    <xf numFmtId="200" fontId="17" fillId="2" borderId="79" xfId="4" applyNumberFormat="1" applyFont="1" applyFill="1" applyBorder="1" applyAlignment="1">
      <alignment horizontal="left" vertical="center"/>
    </xf>
    <xf numFmtId="41" fontId="17" fillId="2" borderId="33" xfId="4" applyNumberFormat="1" applyFont="1" applyFill="1" applyBorder="1" applyAlignment="1">
      <alignment horizontal="center" vertical="center"/>
    </xf>
    <xf numFmtId="0" fontId="17" fillId="2" borderId="90" xfId="4" applyFont="1" applyFill="1" applyBorder="1" applyAlignment="1">
      <alignment horizontal="center" vertical="center"/>
    </xf>
    <xf numFmtId="0" fontId="28" fillId="0" borderId="0" xfId="9" applyFont="1" applyAlignment="1">
      <alignment horizontal="center" vertical="center"/>
    </xf>
    <xf numFmtId="204" fontId="28" fillId="0" borderId="0" xfId="9" applyNumberFormat="1" applyFont="1" applyAlignment="1">
      <alignment horizontal="center" vertical="center"/>
    </xf>
    <xf numFmtId="205" fontId="28" fillId="0" borderId="0" xfId="9" applyNumberFormat="1" applyFont="1" applyAlignment="1">
      <alignment horizontal="center" vertical="center"/>
    </xf>
    <xf numFmtId="0" fontId="4" fillId="0" borderId="11" xfId="0" quotePrefix="1" applyFont="1" applyBorder="1" applyAlignment="1">
      <alignment horizontal="center" vertical="center" wrapText="1"/>
    </xf>
    <xf numFmtId="0" fontId="3" fillId="0" borderId="11" xfId="0" quotePrefix="1" applyFont="1" applyBorder="1" applyAlignment="1">
      <alignment horizontal="center" vertical="center" wrapText="1"/>
    </xf>
    <xf numFmtId="195" fontId="3" fillId="0" borderId="11" xfId="0" applyNumberFormat="1" applyFont="1" applyBorder="1" applyAlignment="1">
      <alignment vertical="center" wrapText="1"/>
    </xf>
    <xf numFmtId="176" fontId="3" fillId="0" borderId="11" xfId="0" applyNumberFormat="1" applyFont="1" applyBorder="1" applyAlignment="1">
      <alignment horizontal="center" vertical="center" wrapText="1"/>
    </xf>
    <xf numFmtId="0" fontId="4" fillId="0" borderId="11" xfId="0" quotePrefix="1" applyFont="1" applyBorder="1" applyAlignment="1">
      <alignment vertical="center" wrapText="1"/>
    </xf>
    <xf numFmtId="0" fontId="6" fillId="0" borderId="8" xfId="9" applyFont="1" applyBorder="1" applyAlignment="1">
      <alignment horizontal="center" vertical="center"/>
    </xf>
    <xf numFmtId="204" fontId="6" fillId="0" borderId="9" xfId="9" applyNumberFormat="1" applyFont="1" applyBorder="1" applyAlignment="1">
      <alignment horizontal="center" vertical="center"/>
    </xf>
    <xf numFmtId="205" fontId="6" fillId="0" borderId="10" xfId="9" applyNumberFormat="1" applyFont="1" applyBorder="1" applyAlignment="1">
      <alignment horizontal="center" vertical="center"/>
    </xf>
    <xf numFmtId="0" fontId="28" fillId="0" borderId="0" xfId="9" applyFont="1"/>
    <xf numFmtId="0" fontId="11" fillId="2" borderId="18" xfId="3" applyFont="1" applyFill="1" applyBorder="1" applyAlignment="1">
      <alignment horizontal="center" vertical="center"/>
    </xf>
    <xf numFmtId="0" fontId="11" fillId="2" borderId="19" xfId="3" applyFont="1" applyFill="1" applyBorder="1" applyAlignment="1">
      <alignment horizontal="center" vertical="center"/>
    </xf>
    <xf numFmtId="0" fontId="11" fillId="2" borderId="12" xfId="3" applyFont="1" applyFill="1" applyBorder="1" applyAlignment="1">
      <alignment horizontal="center" vertical="center"/>
    </xf>
    <xf numFmtId="0" fontId="11" fillId="2" borderId="27" xfId="3" applyFont="1" applyFill="1" applyBorder="1" applyAlignment="1">
      <alignment horizontal="center" vertical="center"/>
    </xf>
    <xf numFmtId="0" fontId="11" fillId="2" borderId="20" xfId="3" applyFont="1" applyFill="1" applyBorder="1" applyAlignment="1">
      <alignment horizontal="center" vertical="center"/>
    </xf>
    <xf numFmtId="0" fontId="11" fillId="2" borderId="17" xfId="3" applyFont="1" applyFill="1" applyBorder="1" applyAlignment="1">
      <alignment horizontal="center" vertical="center"/>
    </xf>
    <xf numFmtId="0" fontId="11" fillId="2" borderId="8" xfId="3" applyFont="1" applyFill="1" applyBorder="1" applyAlignment="1">
      <alignment horizontal="center" vertical="center"/>
    </xf>
    <xf numFmtId="0" fontId="11" fillId="2" borderId="10" xfId="3" applyFont="1" applyFill="1" applyBorder="1" applyAlignment="1">
      <alignment horizontal="center" vertical="center"/>
    </xf>
    <xf numFmtId="0" fontId="10" fillId="2" borderId="0" xfId="3" applyFont="1" applyFill="1" applyAlignment="1">
      <alignment horizontal="right" vertical="center"/>
    </xf>
    <xf numFmtId="0" fontId="6" fillId="2" borderId="22" xfId="3" applyFill="1" applyBorder="1" applyAlignment="1">
      <alignment horizontal="center" vertical="center"/>
    </xf>
    <xf numFmtId="0" fontId="6" fillId="2" borderId="23" xfId="3" applyFill="1" applyBorder="1" applyAlignment="1">
      <alignment horizontal="center" vertical="center"/>
    </xf>
    <xf numFmtId="0" fontId="6" fillId="2" borderId="24" xfId="3" applyFill="1" applyBorder="1" applyAlignment="1">
      <alignment horizontal="center" vertical="center"/>
    </xf>
    <xf numFmtId="0" fontId="11" fillId="2" borderId="9" xfId="3" applyFont="1" applyFill="1" applyBorder="1" applyAlignment="1">
      <alignment horizontal="center" vertical="center"/>
    </xf>
    <xf numFmtId="0" fontId="11" fillId="2" borderId="6" xfId="3" applyFont="1" applyFill="1" applyBorder="1" applyAlignment="1">
      <alignment horizontal="left" vertical="center"/>
    </xf>
    <xf numFmtId="0" fontId="11" fillId="2" borderId="1" xfId="3" applyFont="1" applyFill="1" applyBorder="1" applyAlignment="1">
      <alignment horizontal="left" vertical="center"/>
    </xf>
    <xf numFmtId="0" fontId="11" fillId="2" borderId="7" xfId="3" applyFont="1" applyFill="1" applyBorder="1" applyAlignment="1">
      <alignment horizontal="left" vertical="center"/>
    </xf>
    <xf numFmtId="0" fontId="17" fillId="2" borderId="35" xfId="4" applyFont="1" applyFill="1" applyBorder="1" applyAlignment="1">
      <alignment horizontal="left" vertical="center" wrapText="1"/>
    </xf>
    <xf numFmtId="0" fontId="17" fillId="2" borderId="36" xfId="4" applyFont="1" applyFill="1" applyBorder="1" applyAlignment="1">
      <alignment horizontal="left" vertical="center" wrapText="1"/>
    </xf>
    <xf numFmtId="0" fontId="17" fillId="2" borderId="12" xfId="4" applyFont="1" applyFill="1" applyBorder="1" applyAlignment="1">
      <alignment horizontal="left" vertical="center" wrapText="1"/>
    </xf>
    <xf numFmtId="0" fontId="17" fillId="2" borderId="0" xfId="4" applyFont="1" applyFill="1" applyAlignment="1">
      <alignment horizontal="left" vertical="center" wrapText="1"/>
    </xf>
    <xf numFmtId="0" fontId="17" fillId="2" borderId="39" xfId="4" applyFont="1" applyFill="1" applyBorder="1" applyAlignment="1">
      <alignment horizontal="center" vertical="center" wrapText="1"/>
    </xf>
    <xf numFmtId="0" fontId="17" fillId="2" borderId="40" xfId="4" applyFont="1" applyFill="1" applyBorder="1" applyAlignment="1">
      <alignment horizontal="center" vertical="center"/>
    </xf>
    <xf numFmtId="0" fontId="17" fillId="2" borderId="43" xfId="4" applyFont="1" applyFill="1" applyBorder="1" applyAlignment="1">
      <alignment horizontal="center" vertical="center"/>
    </xf>
    <xf numFmtId="0" fontId="17" fillId="2" borderId="6" xfId="4" applyFont="1" applyFill="1" applyBorder="1" applyAlignment="1" applyProtection="1">
      <alignment horizontal="center" vertical="center" wrapText="1"/>
      <protection locked="0"/>
    </xf>
    <xf numFmtId="0" fontId="17" fillId="2" borderId="7" xfId="4" applyFont="1" applyFill="1" applyBorder="1" applyAlignment="1" applyProtection="1">
      <alignment horizontal="center" vertical="center" wrapText="1"/>
      <protection locked="0"/>
    </xf>
    <xf numFmtId="0" fontId="17" fillId="2" borderId="18" xfId="4" applyFont="1" applyFill="1" applyBorder="1" applyAlignment="1" applyProtection="1">
      <alignment horizontal="center" vertical="center" wrapText="1"/>
      <protection locked="0"/>
    </xf>
    <xf numFmtId="0" fontId="17" fillId="2" borderId="20" xfId="4" applyFont="1" applyFill="1" applyBorder="1" applyAlignment="1" applyProtection="1">
      <alignment horizontal="center" vertical="center" wrapText="1"/>
      <protection locked="0"/>
    </xf>
    <xf numFmtId="0" fontId="17" fillId="2" borderId="6" xfId="4" applyFont="1" applyFill="1" applyBorder="1" applyAlignment="1" applyProtection="1">
      <alignment horizontal="left" vertical="center" wrapText="1"/>
      <protection locked="0"/>
    </xf>
    <xf numFmtId="0" fontId="17" fillId="2" borderId="7" xfId="4" applyFont="1" applyFill="1" applyBorder="1" applyAlignment="1" applyProtection="1">
      <alignment horizontal="left" vertical="center" wrapText="1"/>
      <protection locked="0"/>
    </xf>
    <xf numFmtId="9" fontId="17" fillId="2" borderId="34" xfId="4" applyNumberFormat="1" applyFont="1" applyFill="1" applyBorder="1" applyAlignment="1" applyProtection="1">
      <alignment horizontal="center" vertical="center"/>
      <protection locked="0"/>
    </xf>
    <xf numFmtId="9" fontId="17" fillId="2" borderId="33" xfId="4" applyNumberFormat="1" applyFont="1" applyFill="1" applyBorder="1" applyAlignment="1" applyProtection="1">
      <alignment horizontal="center" vertical="center"/>
      <protection locked="0"/>
    </xf>
    <xf numFmtId="41" fontId="17" fillId="2" borderId="73" xfId="4" applyNumberFormat="1" applyFont="1" applyFill="1" applyBorder="1" applyAlignment="1" applyProtection="1">
      <alignment horizontal="center" vertical="center"/>
      <protection locked="0"/>
    </xf>
    <xf numFmtId="41" fontId="17" fillId="2" borderId="59" xfId="4" applyNumberFormat="1" applyFont="1" applyFill="1" applyBorder="1" applyAlignment="1" applyProtection="1">
      <alignment horizontal="center" vertical="center"/>
      <protection locked="0"/>
    </xf>
    <xf numFmtId="0" fontId="17" fillId="2" borderId="0" xfId="4" applyFont="1" applyFill="1" applyAlignment="1" applyProtection="1">
      <alignment horizontal="left" vertical="center"/>
      <protection locked="0"/>
    </xf>
    <xf numFmtId="0" fontId="17" fillId="2" borderId="27" xfId="4" applyFont="1" applyFill="1" applyBorder="1" applyAlignment="1" applyProtection="1">
      <alignment horizontal="left" vertical="center"/>
      <protection locked="0"/>
    </xf>
    <xf numFmtId="0" fontId="17" fillId="2" borderId="34" xfId="4" applyFont="1" applyFill="1" applyBorder="1" applyAlignment="1" applyProtection="1">
      <alignment horizontal="center" vertical="center"/>
      <protection locked="0"/>
    </xf>
    <xf numFmtId="0" fontId="17" fillId="2" borderId="33" xfId="4" applyFont="1" applyFill="1" applyBorder="1" applyAlignment="1" applyProtection="1">
      <alignment horizontal="center" vertical="center"/>
      <protection locked="0"/>
    </xf>
    <xf numFmtId="41" fontId="25" fillId="2" borderId="0" xfId="7" applyFont="1" applyFill="1" applyBorder="1" applyAlignment="1" applyProtection="1">
      <alignment horizontal="center" vertical="center"/>
      <protection locked="0"/>
    </xf>
    <xf numFmtId="0" fontId="17" fillId="2" borderId="92" xfId="4" applyFont="1" applyFill="1" applyBorder="1" applyAlignment="1" applyProtection="1">
      <alignment horizontal="center" vertical="center"/>
      <protection locked="0"/>
    </xf>
    <xf numFmtId="0" fontId="17" fillId="2" borderId="9" xfId="4" applyFont="1" applyFill="1" applyBorder="1" applyAlignment="1" applyProtection="1">
      <alignment horizontal="center" vertical="center"/>
      <protection locked="0"/>
    </xf>
    <xf numFmtId="0" fontId="17" fillId="2" borderId="89" xfId="4" applyFont="1" applyFill="1" applyBorder="1" applyAlignment="1" applyProtection="1">
      <alignment horizontal="center" vertical="center"/>
      <protection locked="0"/>
    </xf>
    <xf numFmtId="0" fontId="17" fillId="2" borderId="10" xfId="4" applyFont="1" applyFill="1" applyBorder="1" applyAlignment="1" applyProtection="1">
      <alignment horizontal="center" vertical="center"/>
      <protection locked="0"/>
    </xf>
    <xf numFmtId="0" fontId="17" fillId="2" borderId="32" xfId="4" applyFont="1" applyFill="1" applyBorder="1" applyAlignment="1" applyProtection="1">
      <alignment horizontal="center" vertical="center"/>
      <protection locked="0"/>
    </xf>
    <xf numFmtId="0" fontId="17" fillId="2" borderId="63" xfId="4" applyFont="1" applyFill="1" applyBorder="1" applyAlignment="1" applyProtection="1">
      <alignment horizontal="center" vertical="center"/>
      <protection locked="0"/>
    </xf>
    <xf numFmtId="0" fontId="17" fillId="2" borderId="0" xfId="4" applyFont="1" applyFill="1" applyAlignment="1" applyProtection="1">
      <alignment horizontal="center" vertical="center"/>
      <protection locked="0"/>
    </xf>
    <xf numFmtId="0" fontId="17" fillId="2" borderId="27" xfId="4" applyFont="1" applyFill="1" applyBorder="1" applyAlignment="1" applyProtection="1">
      <alignment horizontal="center" vertical="center"/>
      <protection locked="0"/>
    </xf>
    <xf numFmtId="41" fontId="17" fillId="2" borderId="12" xfId="4" applyNumberFormat="1" applyFont="1" applyFill="1" applyBorder="1" applyAlignment="1" applyProtection="1">
      <alignment horizontal="center" vertical="center"/>
      <protection locked="0"/>
    </xf>
    <xf numFmtId="41" fontId="17" fillId="2" borderId="0" xfId="4" applyNumberFormat="1" applyFont="1" applyFill="1" applyAlignment="1" applyProtection="1">
      <alignment horizontal="center" vertical="center"/>
      <protection locked="0"/>
    </xf>
    <xf numFmtId="3" fontId="17" fillId="2" borderId="42" xfId="4" applyNumberFormat="1" applyFont="1" applyFill="1" applyBorder="1" applyAlignment="1" applyProtection="1">
      <alignment horizontal="right" vertical="center" indent="1"/>
      <protection locked="0"/>
    </xf>
    <xf numFmtId="41" fontId="17" fillId="2" borderId="43" xfId="7" applyFont="1" applyFill="1" applyBorder="1" applyAlignment="1" applyProtection="1">
      <alignment horizontal="center" vertical="center"/>
      <protection locked="0"/>
    </xf>
    <xf numFmtId="41" fontId="17" fillId="2" borderId="17" xfId="7" applyFont="1" applyFill="1" applyBorder="1" applyAlignment="1" applyProtection="1">
      <alignment horizontal="center" vertical="center"/>
      <protection locked="0"/>
    </xf>
    <xf numFmtId="0" fontId="17" fillId="2" borderId="101" xfId="4" applyFont="1" applyFill="1" applyBorder="1" applyAlignment="1" applyProtection="1">
      <alignment horizontal="center" vertical="center"/>
      <protection locked="0"/>
    </xf>
    <xf numFmtId="0" fontId="17" fillId="2" borderId="100" xfId="4" applyFont="1" applyFill="1" applyBorder="1" applyAlignment="1" applyProtection="1">
      <alignment horizontal="center" vertical="center"/>
      <protection locked="0"/>
    </xf>
    <xf numFmtId="0" fontId="17" fillId="2" borderId="102" xfId="4" applyFont="1" applyFill="1" applyBorder="1" applyAlignment="1" applyProtection="1">
      <alignment horizontal="center" vertical="center"/>
      <protection locked="0"/>
    </xf>
    <xf numFmtId="3" fontId="17" fillId="2" borderId="29" xfId="4" applyNumberFormat="1" applyFont="1" applyFill="1" applyBorder="1" applyAlignment="1" applyProtection="1">
      <alignment horizontal="right" vertical="center" indent="1"/>
      <protection locked="0"/>
    </xf>
    <xf numFmtId="41" fontId="17" fillId="2" borderId="40" xfId="7" applyFont="1" applyFill="1" applyBorder="1" applyAlignment="1" applyProtection="1">
      <alignment horizontal="center" vertical="center"/>
      <protection locked="0"/>
    </xf>
    <xf numFmtId="41" fontId="17" fillId="2" borderId="27" xfId="7" applyFont="1" applyFill="1" applyBorder="1" applyAlignment="1" applyProtection="1">
      <alignment horizontal="center" vertical="center"/>
      <protection locked="0"/>
    </xf>
    <xf numFmtId="0" fontId="17" fillId="2" borderId="91" xfId="4" applyFont="1" applyFill="1" applyBorder="1" applyAlignment="1" applyProtection="1">
      <alignment horizontal="center" vertical="center"/>
      <protection locked="0"/>
    </xf>
    <xf numFmtId="0" fontId="17" fillId="2" borderId="93" xfId="4" applyFont="1" applyFill="1" applyBorder="1" applyAlignment="1" applyProtection="1">
      <alignment horizontal="center" vertical="center"/>
      <protection locked="0"/>
    </xf>
    <xf numFmtId="0" fontId="17" fillId="2" borderId="99" xfId="4" applyFont="1" applyFill="1" applyBorder="1" applyAlignment="1" applyProtection="1">
      <alignment horizontal="center" vertical="center"/>
      <protection locked="0"/>
    </xf>
    <xf numFmtId="0" fontId="17" fillId="2" borderId="94" xfId="4" applyFont="1" applyFill="1" applyBorder="1" applyAlignment="1" applyProtection="1">
      <alignment horizontal="center" vertical="center"/>
      <protection locked="0"/>
    </xf>
    <xf numFmtId="3" fontId="17" fillId="2" borderId="31" xfId="4" applyNumberFormat="1" applyFont="1" applyFill="1" applyBorder="1" applyAlignment="1" applyProtection="1">
      <alignment horizontal="right" vertical="center" indent="1"/>
      <protection locked="0"/>
    </xf>
    <xf numFmtId="0" fontId="17" fillId="2" borderId="50" xfId="4" applyFont="1" applyFill="1" applyBorder="1" applyAlignment="1" applyProtection="1">
      <alignment horizontal="left" vertical="center"/>
      <protection locked="0"/>
    </xf>
    <xf numFmtId="0" fontId="17" fillId="2" borderId="19" xfId="4" applyFont="1" applyFill="1" applyBorder="1" applyAlignment="1" applyProtection="1">
      <alignment horizontal="left" vertical="center"/>
      <protection locked="0"/>
    </xf>
    <xf numFmtId="3" fontId="17" fillId="2" borderId="32" xfId="4" applyNumberFormat="1" applyFont="1" applyFill="1" applyBorder="1" applyAlignment="1" applyProtection="1">
      <alignment horizontal="center" vertical="center"/>
      <protection locked="0"/>
    </xf>
    <xf numFmtId="3" fontId="17" fillId="2" borderId="63" xfId="4" applyNumberFormat="1" applyFont="1" applyFill="1" applyBorder="1" applyAlignment="1" applyProtection="1">
      <alignment horizontal="center" vertical="center"/>
      <protection locked="0"/>
    </xf>
    <xf numFmtId="41" fontId="17" fillId="2" borderId="32" xfId="7" applyFont="1" applyFill="1" applyBorder="1" applyAlignment="1" applyProtection="1">
      <alignment horizontal="center" vertical="center"/>
      <protection locked="0"/>
    </xf>
    <xf numFmtId="41" fontId="17" fillId="2" borderId="62" xfId="7" applyFont="1" applyFill="1" applyBorder="1" applyAlignment="1" applyProtection="1">
      <alignment horizontal="center" vertical="center"/>
      <protection locked="0"/>
    </xf>
    <xf numFmtId="41" fontId="17" fillId="2" borderId="34" xfId="4" applyNumberFormat="1" applyFont="1" applyFill="1" applyBorder="1" applyAlignment="1" applyProtection="1">
      <alignment horizontal="center" vertical="center"/>
      <protection locked="0"/>
    </xf>
    <xf numFmtId="0" fontId="17" fillId="2" borderId="66" xfId="4" applyFont="1" applyFill="1" applyBorder="1" applyAlignment="1" applyProtection="1">
      <alignment horizontal="center" vertical="center"/>
      <protection locked="0"/>
    </xf>
    <xf numFmtId="0" fontId="17" fillId="2" borderId="97" xfId="4" applyFont="1" applyFill="1" applyBorder="1" applyAlignment="1" applyProtection="1">
      <alignment horizontal="center" vertical="center"/>
      <protection locked="0"/>
    </xf>
    <xf numFmtId="0" fontId="17" fillId="2" borderId="59" xfId="4" applyFont="1" applyFill="1" applyBorder="1" applyAlignment="1" applyProtection="1">
      <alignment horizontal="center" vertical="center"/>
      <protection locked="0"/>
    </xf>
    <xf numFmtId="0" fontId="17" fillId="2" borderId="58" xfId="4" applyFont="1" applyFill="1" applyBorder="1" applyAlignment="1" applyProtection="1">
      <alignment horizontal="center" vertical="center"/>
      <protection locked="0"/>
    </xf>
    <xf numFmtId="195" fontId="17" fillId="2" borderId="73" xfId="7" applyNumberFormat="1" applyFont="1" applyFill="1" applyBorder="1" applyAlignment="1" applyProtection="1">
      <alignment horizontal="center" vertical="center"/>
    </xf>
    <xf numFmtId="195" fontId="17" fillId="2" borderId="59" xfId="7" applyNumberFormat="1" applyFont="1" applyFill="1" applyBorder="1" applyAlignment="1" applyProtection="1">
      <alignment horizontal="center" vertical="center"/>
    </xf>
    <xf numFmtId="195" fontId="17" fillId="2" borderId="58" xfId="7" applyNumberFormat="1" applyFont="1" applyFill="1" applyBorder="1" applyAlignment="1" applyProtection="1">
      <alignment horizontal="center" vertical="center"/>
    </xf>
    <xf numFmtId="41" fontId="17" fillId="2" borderId="73" xfId="7" applyFont="1" applyFill="1" applyBorder="1" applyAlignment="1" applyProtection="1">
      <alignment horizontal="center" vertical="center"/>
    </xf>
    <xf numFmtId="41" fontId="17" fillId="2" borderId="60" xfId="7" applyFont="1" applyFill="1" applyBorder="1" applyAlignment="1" applyProtection="1">
      <alignment horizontal="center" vertical="center"/>
    </xf>
    <xf numFmtId="0" fontId="17" fillId="2" borderId="48" xfId="4" applyFont="1" applyFill="1" applyBorder="1" applyAlignment="1">
      <alignment horizontal="left" vertical="center" wrapText="1"/>
    </xf>
    <xf numFmtId="0" fontId="17" fillId="2" borderId="13" xfId="4" applyFont="1" applyFill="1" applyBorder="1" applyAlignment="1">
      <alignment horizontal="left" vertical="center" wrapText="1"/>
    </xf>
    <xf numFmtId="195" fontId="17" fillId="2" borderId="29" xfId="7" applyNumberFormat="1" applyFont="1" applyFill="1" applyBorder="1" applyAlignment="1" applyProtection="1">
      <alignment horizontal="center" vertical="center"/>
    </xf>
    <xf numFmtId="0" fontId="17" fillId="2" borderId="29" xfId="4" applyFont="1" applyFill="1" applyBorder="1" applyAlignment="1">
      <alignment horizontal="left" vertical="center"/>
    </xf>
    <xf numFmtId="0" fontId="17" fillId="2" borderId="84" xfId="4" applyFont="1" applyFill="1" applyBorder="1" applyAlignment="1">
      <alignment horizontal="left" vertical="center"/>
    </xf>
    <xf numFmtId="195" fontId="17" fillId="2" borderId="34" xfId="7" applyNumberFormat="1" applyFont="1" applyFill="1" applyBorder="1" applyAlignment="1" applyProtection="1">
      <alignment horizontal="center" vertical="center"/>
    </xf>
    <xf numFmtId="195" fontId="17" fillId="2" borderId="66" xfId="7" applyNumberFormat="1" applyFont="1" applyFill="1" applyBorder="1" applyAlignment="1" applyProtection="1">
      <alignment horizontal="center" vertical="center"/>
    </xf>
    <xf numFmtId="195" fontId="17" fillId="2" borderId="33" xfId="7" applyNumberFormat="1" applyFont="1" applyFill="1" applyBorder="1" applyAlignment="1" applyProtection="1">
      <alignment horizontal="center" vertical="center"/>
    </xf>
    <xf numFmtId="41" fontId="17" fillId="2" borderId="34" xfId="7" applyFont="1" applyFill="1" applyBorder="1" applyAlignment="1" applyProtection="1">
      <alignment horizontal="center" vertical="center"/>
    </xf>
    <xf numFmtId="41" fontId="17" fillId="2" borderId="71" xfId="7" applyFont="1" applyFill="1" applyBorder="1" applyAlignment="1" applyProtection="1">
      <alignment horizontal="center" vertical="center"/>
    </xf>
    <xf numFmtId="0" fontId="23" fillId="4" borderId="12" xfId="4" applyFont="1" applyFill="1" applyBorder="1" applyAlignment="1" applyProtection="1">
      <alignment horizontal="center" vertical="center"/>
      <protection locked="0"/>
    </xf>
    <xf numFmtId="0" fontId="23" fillId="4" borderId="20" xfId="4" applyFont="1" applyFill="1" applyBorder="1" applyAlignment="1" applyProtection="1">
      <alignment horizontal="center" vertical="center"/>
      <protection locked="0"/>
    </xf>
    <xf numFmtId="0" fontId="17" fillId="2" borderId="90" xfId="4" applyFont="1" applyFill="1" applyBorder="1" applyAlignment="1">
      <alignment horizontal="center" vertical="center"/>
    </xf>
    <xf numFmtId="0" fontId="17" fillId="2" borderId="25" xfId="4" applyFont="1" applyFill="1" applyBorder="1" applyAlignment="1">
      <alignment horizontal="center" vertical="center"/>
    </xf>
    <xf numFmtId="0" fontId="17" fillId="2" borderId="51" xfId="4" applyFont="1" applyFill="1" applyBorder="1" applyAlignment="1">
      <alignment horizontal="center" vertical="center"/>
    </xf>
    <xf numFmtId="0" fontId="17" fillId="2" borderId="81" xfId="4" applyFont="1" applyFill="1" applyBorder="1" applyAlignment="1">
      <alignment horizontal="center" vertical="center"/>
    </xf>
    <xf numFmtId="0" fontId="17" fillId="2" borderId="30" xfId="4" applyFont="1" applyFill="1" applyBorder="1" applyAlignment="1">
      <alignment horizontal="center" vertical="center"/>
    </xf>
    <xf numFmtId="0" fontId="17" fillId="2" borderId="55" xfId="4" applyFont="1" applyFill="1" applyBorder="1" applyAlignment="1">
      <alignment horizontal="center" vertical="center"/>
    </xf>
    <xf numFmtId="0" fontId="17" fillId="2" borderId="31" xfId="4" applyFont="1" applyFill="1" applyBorder="1" applyAlignment="1">
      <alignment horizontal="center" vertical="center"/>
    </xf>
    <xf numFmtId="0" fontId="17" fillId="2" borderId="50" xfId="4" applyFont="1" applyFill="1" applyBorder="1" applyAlignment="1">
      <alignment horizontal="center" vertical="center"/>
    </xf>
    <xf numFmtId="0" fontId="17" fillId="2" borderId="75" xfId="4" applyFont="1" applyFill="1" applyBorder="1" applyAlignment="1">
      <alignment horizontal="center" vertical="center"/>
    </xf>
    <xf numFmtId="0" fontId="17" fillId="2" borderId="54" xfId="4" applyFont="1" applyFill="1" applyBorder="1" applyAlignment="1">
      <alignment horizontal="center" vertical="center"/>
    </xf>
    <xf numFmtId="0" fontId="17" fillId="2" borderId="69" xfId="4" applyFont="1" applyFill="1" applyBorder="1" applyAlignment="1">
      <alignment horizontal="center" vertical="center"/>
    </xf>
    <xf numFmtId="0" fontId="17" fillId="2" borderId="29" xfId="4" applyFont="1" applyFill="1" applyBorder="1" applyAlignment="1">
      <alignment horizontal="center" vertical="center"/>
    </xf>
    <xf numFmtId="0" fontId="17" fillId="2" borderId="68" xfId="4" applyFont="1" applyFill="1" applyBorder="1" applyAlignment="1">
      <alignment horizontal="center" vertical="center"/>
    </xf>
    <xf numFmtId="41" fontId="17" fillId="2" borderId="29" xfId="4" applyNumberFormat="1" applyFont="1" applyFill="1" applyBorder="1" applyAlignment="1">
      <alignment horizontal="center" vertical="center"/>
    </xf>
    <xf numFmtId="0" fontId="17" fillId="2" borderId="34" xfId="4" applyFont="1" applyFill="1" applyBorder="1" applyAlignment="1">
      <alignment horizontal="center" vertical="center"/>
    </xf>
    <xf numFmtId="0" fontId="17" fillId="2" borderId="71" xfId="4" applyFont="1" applyFill="1" applyBorder="1" applyAlignment="1">
      <alignment horizontal="center" vertical="center"/>
    </xf>
    <xf numFmtId="0" fontId="17" fillId="2" borderId="57" xfId="4" applyFont="1" applyFill="1" applyBorder="1" applyAlignment="1">
      <alignment horizontal="center" vertical="center"/>
    </xf>
    <xf numFmtId="0" fontId="17" fillId="2" borderId="42" xfId="4" applyFont="1" applyFill="1" applyBorder="1" applyAlignment="1">
      <alignment horizontal="center" vertical="center"/>
    </xf>
    <xf numFmtId="41" fontId="18" fillId="2" borderId="73" xfId="4" applyNumberFormat="1" applyFont="1" applyFill="1" applyBorder="1" applyAlignment="1">
      <alignment horizontal="center" vertical="center"/>
    </xf>
    <xf numFmtId="41" fontId="18" fillId="2" borderId="59" xfId="4" applyNumberFormat="1" applyFont="1" applyFill="1" applyBorder="1" applyAlignment="1">
      <alignment horizontal="center" vertical="center"/>
    </xf>
    <xf numFmtId="0" fontId="17" fillId="2" borderId="73" xfId="4" applyFont="1" applyFill="1" applyBorder="1" applyAlignment="1">
      <alignment horizontal="left" vertical="center"/>
    </xf>
    <xf numFmtId="0" fontId="17" fillId="2" borderId="60" xfId="4" applyFont="1" applyFill="1" applyBorder="1" applyAlignment="1">
      <alignment horizontal="left" vertical="center"/>
    </xf>
    <xf numFmtId="41" fontId="17" fillId="2" borderId="66" xfId="7" applyFont="1" applyFill="1" applyBorder="1" applyAlignment="1" applyProtection="1">
      <alignment horizontal="center" vertical="center"/>
    </xf>
    <xf numFmtId="41" fontId="17" fillId="2" borderId="34" xfId="7" applyFont="1" applyFill="1" applyBorder="1" applyAlignment="1" applyProtection="1">
      <alignment horizontal="left" vertical="center"/>
    </xf>
    <xf numFmtId="41" fontId="17" fillId="2" borderId="71" xfId="7" applyFont="1" applyFill="1" applyBorder="1" applyAlignment="1" applyProtection="1">
      <alignment horizontal="left" vertical="center"/>
    </xf>
    <xf numFmtId="0" fontId="17" fillId="2" borderId="70" xfId="4" applyFont="1" applyFill="1" applyBorder="1" applyAlignment="1">
      <alignment horizontal="center" vertical="center"/>
    </xf>
    <xf numFmtId="0" fontId="17" fillId="2" borderId="66" xfId="4" applyFont="1" applyFill="1" applyBorder="1" applyAlignment="1">
      <alignment horizontal="center" vertical="center"/>
    </xf>
    <xf numFmtId="0" fontId="16" fillId="2" borderId="45" xfId="4" applyFont="1" applyFill="1" applyBorder="1" applyAlignment="1">
      <alignment horizontal="center" vertical="center"/>
    </xf>
    <xf numFmtId="0" fontId="16" fillId="2" borderId="46" xfId="4" applyFont="1" applyFill="1" applyBorder="1" applyAlignment="1">
      <alignment horizontal="center" vertical="center"/>
    </xf>
    <xf numFmtId="0" fontId="16" fillId="2" borderId="47" xfId="4" applyFont="1" applyFill="1" applyBorder="1" applyAlignment="1">
      <alignment horizontal="center" vertical="center"/>
    </xf>
    <xf numFmtId="0" fontId="23" fillId="4" borderId="18" xfId="4" applyFont="1" applyFill="1" applyBorder="1" applyAlignment="1" applyProtection="1">
      <alignment horizontal="center" vertical="center"/>
      <protection locked="0"/>
    </xf>
    <xf numFmtId="0" fontId="6" fillId="0" borderId="31" xfId="4" applyBorder="1">
      <alignment vertical="center"/>
    </xf>
    <xf numFmtId="0" fontId="17" fillId="2" borderId="32" xfId="4" applyFont="1" applyFill="1" applyBorder="1" applyAlignment="1">
      <alignment horizontal="center" vertical="center"/>
    </xf>
    <xf numFmtId="0" fontId="17" fillId="2" borderId="62" xfId="4" applyFont="1" applyFill="1" applyBorder="1" applyAlignment="1">
      <alignment horizontal="center" vertical="center"/>
    </xf>
    <xf numFmtId="0" fontId="17" fillId="2" borderId="83" xfId="4" applyFont="1" applyFill="1" applyBorder="1" applyAlignment="1">
      <alignment horizontal="center" vertical="center"/>
    </xf>
    <xf numFmtId="3" fontId="17" fillId="2" borderId="29" xfId="4" applyNumberFormat="1" applyFont="1" applyFill="1" applyBorder="1" applyAlignment="1">
      <alignment horizontal="center" vertical="center"/>
    </xf>
    <xf numFmtId="3" fontId="17" fillId="2" borderId="39" xfId="4" applyNumberFormat="1" applyFont="1" applyFill="1" applyBorder="1" applyAlignment="1">
      <alignment horizontal="center" vertical="center"/>
    </xf>
    <xf numFmtId="3" fontId="17" fillId="2" borderId="79" xfId="4" applyNumberFormat="1" applyFont="1" applyFill="1" applyBorder="1" applyAlignment="1">
      <alignment horizontal="center" vertical="center"/>
    </xf>
    <xf numFmtId="0" fontId="17" fillId="2" borderId="34" xfId="4" applyFont="1" applyFill="1" applyBorder="1" applyAlignment="1">
      <alignment horizontal="right" vertical="center" indent="1"/>
    </xf>
    <xf numFmtId="0" fontId="17" fillId="2" borderId="66" xfId="4" applyFont="1" applyFill="1" applyBorder="1" applyAlignment="1">
      <alignment horizontal="right" vertical="center" indent="1"/>
    </xf>
    <xf numFmtId="0" fontId="17" fillId="2" borderId="33" xfId="4" applyFont="1" applyFill="1" applyBorder="1" applyAlignment="1">
      <alignment horizontal="right" vertical="center" indent="1"/>
    </xf>
    <xf numFmtId="3" fontId="22" fillId="2" borderId="43" xfId="4" applyNumberFormat="1" applyFont="1" applyFill="1" applyBorder="1" applyAlignment="1">
      <alignment horizontal="center" vertical="center"/>
    </xf>
    <xf numFmtId="3" fontId="22" fillId="2" borderId="88" xfId="4" applyNumberFormat="1" applyFont="1" applyFill="1" applyBorder="1" applyAlignment="1">
      <alignment horizontal="center" vertical="center"/>
    </xf>
    <xf numFmtId="0" fontId="17" fillId="2" borderId="73" xfId="4" applyFont="1" applyFill="1" applyBorder="1" applyAlignment="1">
      <alignment horizontal="right" vertical="center" indent="1"/>
    </xf>
    <xf numFmtId="0" fontId="17" fillId="2" borderId="59" xfId="4" applyFont="1" applyFill="1" applyBorder="1" applyAlignment="1">
      <alignment horizontal="right" vertical="center" indent="1"/>
    </xf>
    <xf numFmtId="0" fontId="17" fillId="2" borderId="58" xfId="4" applyFont="1" applyFill="1" applyBorder="1" applyAlignment="1">
      <alignment horizontal="right" vertical="center" indent="1"/>
    </xf>
    <xf numFmtId="0" fontId="17" fillId="2" borderId="73" xfId="4" applyFont="1" applyFill="1" applyBorder="1" applyAlignment="1">
      <alignment horizontal="center" vertical="center"/>
    </xf>
    <xf numFmtId="0" fontId="17" fillId="2" borderId="60" xfId="4" applyFont="1" applyFill="1" applyBorder="1" applyAlignment="1">
      <alignment horizontal="center" vertical="center"/>
    </xf>
    <xf numFmtId="3" fontId="22" fillId="2" borderId="0" xfId="4" applyNumberFormat="1" applyFont="1" applyFill="1" applyAlignment="1">
      <alignment horizontal="center" vertical="center"/>
    </xf>
    <xf numFmtId="3" fontId="22" fillId="2" borderId="86" xfId="4" applyNumberFormat="1" applyFont="1" applyFill="1" applyBorder="1" applyAlignment="1">
      <alignment horizontal="center" vertical="center"/>
    </xf>
    <xf numFmtId="0" fontId="17" fillId="2" borderId="39" xfId="4" applyFont="1" applyFill="1" applyBorder="1" applyAlignment="1">
      <alignment horizontal="right" vertical="center" indent="1"/>
    </xf>
    <xf numFmtId="0" fontId="17" fillId="2" borderId="36" xfId="4" applyFont="1" applyFill="1" applyBorder="1" applyAlignment="1">
      <alignment horizontal="right" vertical="center" indent="1"/>
    </xf>
    <xf numFmtId="0" fontId="17" fillId="2" borderId="79" xfId="4" applyFont="1" applyFill="1" applyBorder="1" applyAlignment="1">
      <alignment horizontal="right" vertical="center" indent="1"/>
    </xf>
    <xf numFmtId="0" fontId="17" fillId="2" borderId="39" xfId="4" applyFont="1" applyFill="1" applyBorder="1" applyAlignment="1">
      <alignment horizontal="center" vertical="center"/>
    </xf>
    <xf numFmtId="0" fontId="17" fillId="2" borderId="67" xfId="4" applyFont="1" applyFill="1" applyBorder="1" applyAlignment="1">
      <alignment horizontal="center" vertical="center"/>
    </xf>
    <xf numFmtId="0" fontId="17" fillId="2" borderId="82" xfId="4" applyFont="1" applyFill="1" applyBorder="1" applyAlignment="1">
      <alignment horizontal="center" vertical="center"/>
    </xf>
    <xf numFmtId="0" fontId="17" fillId="2" borderId="9" xfId="4" applyFont="1" applyFill="1" applyBorder="1" applyAlignment="1">
      <alignment horizontal="center" vertical="center"/>
    </xf>
    <xf numFmtId="0" fontId="17" fillId="2" borderId="89" xfId="4" applyFont="1" applyFill="1" applyBorder="1" applyAlignment="1">
      <alignment horizontal="center" vertical="center"/>
    </xf>
    <xf numFmtId="203" fontId="17" fillId="2" borderId="42" xfId="4" applyNumberFormat="1" applyFont="1" applyFill="1" applyBorder="1" applyAlignment="1">
      <alignment horizontal="center" vertical="center"/>
    </xf>
    <xf numFmtId="201" fontId="17" fillId="2" borderId="73" xfId="4" applyNumberFormat="1" applyFont="1" applyFill="1" applyBorder="1" applyAlignment="1">
      <alignment horizontal="left" vertical="center" wrapText="1"/>
    </xf>
    <xf numFmtId="201" fontId="17" fillId="2" borderId="60" xfId="4" applyNumberFormat="1" applyFont="1" applyFill="1" applyBorder="1" applyAlignment="1">
      <alignment horizontal="left" vertical="center"/>
    </xf>
    <xf numFmtId="0" fontId="17" fillId="2" borderId="63" xfId="4" applyFont="1" applyFill="1" applyBorder="1" applyAlignment="1">
      <alignment horizontal="center" vertical="center"/>
    </xf>
    <xf numFmtId="9" fontId="17" fillId="2" borderId="34" xfId="4" applyNumberFormat="1" applyFont="1" applyFill="1" applyBorder="1" applyAlignment="1">
      <alignment horizontal="center" vertical="center"/>
    </xf>
    <xf numFmtId="0" fontId="16" fillId="2" borderId="45" xfId="4" applyFont="1" applyFill="1" applyBorder="1" applyAlignment="1">
      <alignment horizontal="center" vertical="center" wrapText="1"/>
    </xf>
    <xf numFmtId="201" fontId="17" fillId="2" borderId="39" xfId="4" applyNumberFormat="1" applyFont="1" applyFill="1" applyBorder="1" applyAlignment="1">
      <alignment horizontal="center" vertical="center" wrapText="1"/>
    </xf>
    <xf numFmtId="201" fontId="17" fillId="2" borderId="67" xfId="4" applyNumberFormat="1" applyFont="1" applyFill="1" applyBorder="1" applyAlignment="1">
      <alignment horizontal="center" vertical="center" wrapText="1"/>
    </xf>
    <xf numFmtId="201" fontId="17" fillId="2" borderId="40" xfId="4" applyNumberFormat="1" applyFont="1" applyFill="1" applyBorder="1" applyAlignment="1">
      <alignment horizontal="center" vertical="center" wrapText="1"/>
    </xf>
    <xf numFmtId="201" fontId="17" fillId="2" borderId="13" xfId="4" applyNumberFormat="1" applyFont="1" applyFill="1" applyBorder="1" applyAlignment="1">
      <alignment horizontal="center" vertical="center" wrapText="1"/>
    </xf>
    <xf numFmtId="201" fontId="17" fillId="2" borderId="43" xfId="4" applyNumberFormat="1" applyFont="1" applyFill="1" applyBorder="1" applyAlignment="1">
      <alignment horizontal="center" vertical="center" wrapText="1"/>
    </xf>
    <xf numFmtId="201" fontId="17" fillId="2" borderId="76" xfId="4" applyNumberFormat="1" applyFont="1" applyFill="1" applyBorder="1" applyAlignment="1">
      <alignment horizontal="center" vertical="center" wrapText="1"/>
    </xf>
    <xf numFmtId="3" fontId="22" fillId="2" borderId="40" xfId="4" applyNumberFormat="1" applyFont="1" applyFill="1" applyBorder="1" applyAlignment="1">
      <alignment horizontal="center" vertical="center"/>
    </xf>
    <xf numFmtId="0" fontId="17" fillId="2" borderId="29" xfId="4" applyFont="1" applyFill="1" applyBorder="1" applyAlignment="1">
      <alignment horizontal="right" vertical="center" indent="1"/>
    </xf>
    <xf numFmtId="0" fontId="17" fillId="2" borderId="42" xfId="4" applyFont="1" applyFill="1" applyBorder="1" applyAlignment="1">
      <alignment horizontal="right" vertical="center" indent="1"/>
    </xf>
    <xf numFmtId="0" fontId="17" fillId="2" borderId="11" xfId="4" applyFont="1" applyFill="1" applyBorder="1" applyAlignment="1" applyProtection="1">
      <alignment horizontal="center" vertical="center"/>
      <protection locked="0"/>
    </xf>
    <xf numFmtId="0" fontId="17" fillId="2" borderId="8" xfId="4" applyFont="1" applyFill="1" applyBorder="1" applyAlignment="1" applyProtection="1">
      <alignment horizontal="center" vertical="center"/>
      <protection locked="0"/>
    </xf>
    <xf numFmtId="0" fontId="17" fillId="2" borderId="33" xfId="4" applyFont="1" applyFill="1" applyBorder="1" applyAlignment="1">
      <alignment horizontal="center" vertical="center"/>
    </xf>
    <xf numFmtId="203" fontId="17" fillId="2" borderId="34" xfId="4" applyNumberFormat="1" applyFont="1" applyFill="1" applyBorder="1" applyAlignment="1">
      <alignment horizontal="center" vertical="center"/>
    </xf>
    <xf numFmtId="203" fontId="17" fillId="2" borderId="33" xfId="4" applyNumberFormat="1" applyFont="1" applyFill="1" applyBorder="1" applyAlignment="1">
      <alignment horizontal="center" vertical="center"/>
    </xf>
    <xf numFmtId="0" fontId="17" fillId="2" borderId="72" xfId="4" applyFont="1" applyFill="1" applyBorder="1" applyAlignment="1">
      <alignment horizontal="center" vertical="center"/>
    </xf>
    <xf numFmtId="0" fontId="17" fillId="2" borderId="59" xfId="4" applyFont="1" applyFill="1" applyBorder="1" applyAlignment="1">
      <alignment horizontal="center" vertical="center"/>
    </xf>
    <xf numFmtId="0" fontId="17" fillId="2" borderId="58" xfId="4" applyFont="1" applyFill="1" applyBorder="1" applyAlignment="1">
      <alignment horizontal="center" vertical="center"/>
    </xf>
    <xf numFmtId="203" fontId="17" fillId="2" borderId="73" xfId="4" applyNumberFormat="1" applyFont="1" applyFill="1" applyBorder="1" applyAlignment="1">
      <alignment horizontal="center" vertical="center"/>
    </xf>
    <xf numFmtId="203" fontId="17" fillId="2" borderId="58" xfId="4" applyNumberFormat="1" applyFont="1" applyFill="1" applyBorder="1" applyAlignment="1">
      <alignment horizontal="center" vertical="center"/>
    </xf>
    <xf numFmtId="0" fontId="17" fillId="2" borderId="13" xfId="4" applyFont="1" applyFill="1" applyBorder="1" applyAlignment="1" applyProtection="1">
      <alignment horizontal="center" vertical="center"/>
      <protection locked="0"/>
    </xf>
    <xf numFmtId="41" fontId="17" fillId="2" borderId="78" xfId="4" applyNumberFormat="1" applyFont="1" applyFill="1" applyBorder="1" applyAlignment="1">
      <alignment horizontal="center" vertical="center"/>
    </xf>
    <xf numFmtId="41" fontId="17" fillId="2" borderId="36" xfId="4" applyNumberFormat="1" applyFont="1" applyFill="1" applyBorder="1" applyAlignment="1">
      <alignment horizontal="center" vertical="center"/>
    </xf>
    <xf numFmtId="41" fontId="17" fillId="2" borderId="81" xfId="4" applyNumberFormat="1" applyFont="1" applyFill="1" applyBorder="1" applyAlignment="1">
      <alignment horizontal="center" vertical="center"/>
    </xf>
    <xf numFmtId="41" fontId="17" fillId="2" borderId="30" xfId="4" applyNumberFormat="1" applyFont="1" applyFill="1" applyBorder="1" applyAlignment="1">
      <alignment horizontal="center" vertical="center"/>
    </xf>
    <xf numFmtId="201" fontId="17" fillId="2" borderId="39" xfId="4" applyNumberFormat="1" applyFont="1" applyFill="1" applyBorder="1" applyAlignment="1">
      <alignment horizontal="center" vertical="center"/>
    </xf>
    <xf numFmtId="201" fontId="17" fillId="2" borderId="79" xfId="4" applyNumberFormat="1" applyFont="1" applyFill="1" applyBorder="1" applyAlignment="1">
      <alignment horizontal="center" vertical="center"/>
    </xf>
    <xf numFmtId="201" fontId="17" fillId="2" borderId="54" xfId="4" applyNumberFormat="1" applyFont="1" applyFill="1" applyBorder="1" applyAlignment="1">
      <alignment horizontal="center" vertical="center"/>
    </xf>
    <xf numFmtId="201" fontId="17" fillId="2" borderId="55" xfId="4" applyNumberFormat="1" applyFont="1" applyFill="1" applyBorder="1" applyAlignment="1">
      <alignment horizontal="center" vertical="center"/>
    </xf>
    <xf numFmtId="41" fontId="17" fillId="2" borderId="39" xfId="7" applyFont="1" applyFill="1" applyBorder="1" applyAlignment="1" applyProtection="1">
      <alignment horizontal="center" vertical="center"/>
    </xf>
    <xf numFmtId="41" fontId="17" fillId="2" borderId="67" xfId="7" applyFont="1" applyFill="1" applyBorder="1" applyAlignment="1" applyProtection="1">
      <alignment horizontal="center" vertical="center"/>
    </xf>
    <xf numFmtId="41" fontId="17" fillId="2" borderId="54" xfId="7" applyFont="1" applyFill="1" applyBorder="1" applyAlignment="1" applyProtection="1">
      <alignment horizontal="center" vertical="center"/>
    </xf>
    <xf numFmtId="41" fontId="17" fillId="2" borderId="69" xfId="7" applyFont="1" applyFill="1" applyBorder="1" applyAlignment="1" applyProtection="1">
      <alignment horizontal="center" vertical="center"/>
    </xf>
    <xf numFmtId="201" fontId="17" fillId="2" borderId="42" xfId="4" applyNumberFormat="1" applyFont="1" applyFill="1" applyBorder="1" applyAlignment="1">
      <alignment horizontal="center" vertical="center"/>
    </xf>
    <xf numFmtId="0" fontId="17" fillId="2" borderId="62" xfId="4" applyFont="1" applyFill="1" applyBorder="1" applyAlignment="1">
      <alignment horizontal="right" vertical="center"/>
    </xf>
    <xf numFmtId="0" fontId="17" fillId="2" borderId="64" xfId="4" applyFont="1" applyFill="1" applyBorder="1" applyAlignment="1">
      <alignment horizontal="right" vertical="center"/>
    </xf>
    <xf numFmtId="0" fontId="17" fillId="2" borderId="61" xfId="4" applyFont="1" applyFill="1" applyBorder="1" applyAlignment="1">
      <alignment horizontal="center" vertical="center"/>
    </xf>
    <xf numFmtId="41" fontId="17" fillId="2" borderId="32" xfId="7" applyFont="1" applyFill="1" applyBorder="1" applyAlignment="1" applyProtection="1">
      <alignment horizontal="center" vertical="center"/>
    </xf>
    <xf numFmtId="41" fontId="17" fillId="2" borderId="64" xfId="7" applyFont="1" applyFill="1" applyBorder="1" applyAlignment="1" applyProtection="1">
      <alignment horizontal="center" vertical="center"/>
    </xf>
    <xf numFmtId="0" fontId="17" fillId="2" borderId="49" xfId="4" applyFont="1" applyFill="1" applyBorder="1" applyAlignment="1">
      <alignment horizontal="center" vertical="center"/>
    </xf>
    <xf numFmtId="0" fontId="17" fillId="2" borderId="53" xfId="4" applyFont="1" applyFill="1" applyBorder="1" applyAlignment="1">
      <alignment horizontal="center" vertical="center"/>
    </xf>
    <xf numFmtId="0" fontId="17" fillId="2" borderId="52" xfId="4" applyFont="1" applyFill="1" applyBorder="1" applyAlignment="1">
      <alignment horizontal="center" vertical="center"/>
    </xf>
    <xf numFmtId="0" fontId="17" fillId="2" borderId="56" xfId="4" applyFont="1" applyFill="1" applyBorder="1" applyAlignment="1">
      <alignment horizontal="center" vertical="center"/>
    </xf>
    <xf numFmtId="0" fontId="17" fillId="2" borderId="74" xfId="4" applyFont="1" applyFill="1" applyBorder="1" applyAlignment="1">
      <alignment horizontal="center" vertical="center"/>
    </xf>
    <xf numFmtId="0" fontId="17" fillId="2" borderId="76" xfId="4" applyFont="1" applyFill="1" applyBorder="1" applyAlignment="1">
      <alignment horizontal="center" vertical="center"/>
    </xf>
    <xf numFmtId="0" fontId="17" fillId="2" borderId="50" xfId="4" applyFont="1" applyFill="1" applyBorder="1" applyAlignment="1">
      <alignment horizontal="left" vertical="center"/>
    </xf>
    <xf numFmtId="0" fontId="17" fillId="2" borderId="75" xfId="4" applyFont="1" applyFill="1" applyBorder="1" applyAlignment="1">
      <alignment horizontal="left" vertical="center"/>
    </xf>
    <xf numFmtId="41" fontId="17" fillId="2" borderId="65" xfId="4" applyNumberFormat="1" applyFont="1" applyFill="1" applyBorder="1" applyAlignment="1">
      <alignment horizontal="center" vertical="center"/>
    </xf>
    <xf numFmtId="41" fontId="17" fillId="2" borderId="53" xfId="4" applyNumberFormat="1" applyFont="1" applyFill="1" applyBorder="1" applyAlignment="1">
      <alignment horizontal="center" vertical="center"/>
    </xf>
    <xf numFmtId="41" fontId="17" fillId="2" borderId="34" xfId="4" applyNumberFormat="1" applyFont="1" applyFill="1" applyBorder="1" applyAlignment="1">
      <alignment horizontal="left" vertical="center"/>
    </xf>
    <xf numFmtId="41" fontId="17" fillId="2" borderId="66" xfId="4" applyNumberFormat="1" applyFont="1" applyFill="1" applyBorder="1" applyAlignment="1">
      <alignment horizontal="left" vertical="center"/>
    </xf>
    <xf numFmtId="41" fontId="17" fillId="2" borderId="33" xfId="4" applyNumberFormat="1" applyFont="1" applyFill="1" applyBorder="1" applyAlignment="1">
      <alignment horizontal="left" vertical="center"/>
    </xf>
    <xf numFmtId="202" fontId="17" fillId="2" borderId="34" xfId="4" applyNumberFormat="1" applyFont="1" applyFill="1" applyBorder="1" applyAlignment="1">
      <alignment horizontal="center" vertical="center"/>
    </xf>
    <xf numFmtId="202" fontId="17" fillId="2" borderId="33" xfId="4" applyNumberFormat="1" applyFont="1" applyFill="1" applyBorder="1" applyAlignment="1">
      <alignment horizontal="center" vertical="center"/>
    </xf>
    <xf numFmtId="41" fontId="17" fillId="2" borderId="40" xfId="7" applyFont="1" applyFill="1" applyBorder="1" applyAlignment="1" applyProtection="1">
      <alignment horizontal="center" vertical="center"/>
    </xf>
    <xf numFmtId="41" fontId="17" fillId="2" borderId="13" xfId="7" applyFont="1" applyFill="1" applyBorder="1" applyAlignment="1" applyProtection="1">
      <alignment horizontal="center" vertical="center"/>
    </xf>
    <xf numFmtId="41" fontId="17" fillId="2" borderId="48" xfId="4" applyNumberFormat="1" applyFont="1" applyFill="1" applyBorder="1" applyAlignment="1" applyProtection="1">
      <alignment horizontal="center" vertical="center"/>
      <protection locked="0"/>
    </xf>
    <xf numFmtId="201" fontId="17" fillId="2" borderId="34" xfId="4" applyNumberFormat="1" applyFont="1" applyFill="1" applyBorder="1" applyAlignment="1">
      <alignment horizontal="center" vertical="center"/>
    </xf>
    <xf numFmtId="201" fontId="17" fillId="2" borderId="33" xfId="4" applyNumberFormat="1" applyFont="1" applyFill="1" applyBorder="1" applyAlignment="1">
      <alignment horizontal="center" vertical="center"/>
    </xf>
    <xf numFmtId="41" fontId="17" fillId="2" borderId="66" xfId="7" applyFont="1" applyFill="1" applyBorder="1" applyAlignment="1" applyProtection="1">
      <alignment horizontal="left" vertical="center"/>
    </xf>
    <xf numFmtId="41" fontId="17" fillId="2" borderId="33" xfId="7" applyFont="1" applyFill="1" applyBorder="1" applyAlignment="1" applyProtection="1">
      <alignment horizontal="left" vertical="center"/>
    </xf>
    <xf numFmtId="0" fontId="17" fillId="2" borderId="21" xfId="4" applyFont="1" applyFill="1" applyBorder="1" applyAlignment="1" applyProtection="1">
      <alignment horizontal="center" vertical="center"/>
      <protection locked="0"/>
    </xf>
    <xf numFmtId="0" fontId="17" fillId="2" borderId="104" xfId="4" applyFont="1" applyFill="1" applyBorder="1" applyAlignment="1">
      <alignment horizontal="center" vertical="center"/>
    </xf>
    <xf numFmtId="195" fontId="17" fillId="2" borderId="73" xfId="4" applyNumberFormat="1" applyFont="1" applyFill="1" applyBorder="1" applyAlignment="1">
      <alignment horizontal="center" vertical="center"/>
    </xf>
    <xf numFmtId="195" fontId="17" fillId="2" borderId="58" xfId="4" applyNumberFormat="1" applyFont="1" applyFill="1" applyBorder="1" applyAlignment="1">
      <alignment horizontal="center" vertical="center"/>
    </xf>
    <xf numFmtId="0" fontId="17" fillId="2" borderId="42" xfId="4" applyFont="1" applyFill="1" applyBorder="1" applyAlignment="1">
      <alignment horizontal="left" vertical="center"/>
    </xf>
    <xf numFmtId="0" fontId="17" fillId="2" borderId="105" xfId="4" applyFont="1" applyFill="1" applyBorder="1" applyAlignment="1">
      <alignment horizontal="left" vertical="center"/>
    </xf>
    <xf numFmtId="0" fontId="17" fillId="2" borderId="65" xfId="4" applyFont="1" applyFill="1" applyBorder="1" applyAlignment="1">
      <alignment horizontal="center" vertical="center"/>
    </xf>
    <xf numFmtId="0" fontId="17" fillId="2" borderId="80" xfId="4" applyFont="1" applyFill="1" applyBorder="1" applyAlignment="1">
      <alignment horizontal="center" vertical="center"/>
    </xf>
    <xf numFmtId="41" fontId="18" fillId="2" borderId="39" xfId="4" applyNumberFormat="1" applyFont="1" applyFill="1" applyBorder="1" applyAlignment="1">
      <alignment horizontal="center" vertical="center"/>
    </xf>
    <xf numFmtId="41" fontId="18" fillId="2" borderId="36" xfId="4" applyNumberFormat="1" applyFont="1" applyFill="1" applyBorder="1" applyAlignment="1">
      <alignment horizontal="center" vertical="center"/>
    </xf>
    <xf numFmtId="0" fontId="17" fillId="2" borderId="39" xfId="4" applyFont="1" applyFill="1" applyBorder="1" applyAlignment="1">
      <alignment horizontal="left" vertical="center"/>
    </xf>
    <xf numFmtId="0" fontId="17" fillId="2" borderId="67" xfId="4" applyFont="1" applyFill="1" applyBorder="1" applyAlignment="1">
      <alignment horizontal="left" vertical="center"/>
    </xf>
    <xf numFmtId="3" fontId="17" fillId="2" borderId="0" xfId="4" applyNumberFormat="1" applyFont="1" applyFill="1" applyAlignment="1" applyProtection="1">
      <alignment horizontal="center" vertical="center"/>
      <protection locked="0"/>
    </xf>
    <xf numFmtId="0" fontId="17" fillId="2" borderId="0" xfId="4" applyFont="1" applyFill="1" applyAlignment="1" applyProtection="1">
      <alignment horizontal="right" vertical="center" indent="1"/>
      <protection locked="0"/>
    </xf>
    <xf numFmtId="41" fontId="17" fillId="2" borderId="29" xfId="7" applyFont="1" applyFill="1" applyBorder="1" applyAlignment="1" applyProtection="1">
      <alignment horizontal="center" vertical="center"/>
    </xf>
    <xf numFmtId="41" fontId="17" fillId="2" borderId="34" xfId="7" quotePrefix="1" applyFont="1" applyFill="1" applyBorder="1" applyAlignment="1" applyProtection="1">
      <alignment horizontal="center" vertical="center"/>
    </xf>
    <xf numFmtId="41" fontId="17" fillId="2" borderId="66" xfId="7" quotePrefix="1" applyFont="1" applyFill="1" applyBorder="1" applyAlignment="1" applyProtection="1">
      <alignment horizontal="center" vertical="center"/>
    </xf>
    <xf numFmtId="0" fontId="17" fillId="2" borderId="103" xfId="4" applyFont="1" applyFill="1" applyBorder="1" applyAlignment="1">
      <alignment horizontal="center" vertical="center"/>
    </xf>
    <xf numFmtId="0" fontId="17" fillId="2" borderId="21" xfId="4" applyFont="1" applyFill="1" applyBorder="1" applyAlignment="1">
      <alignment horizontal="center" vertical="center"/>
    </xf>
    <xf numFmtId="0" fontId="17" fillId="2" borderId="88" xfId="4" applyFont="1" applyFill="1" applyBorder="1" applyAlignment="1">
      <alignment horizontal="center" vertical="center"/>
    </xf>
    <xf numFmtId="41" fontId="17" fillId="4" borderId="0" xfId="4" applyNumberFormat="1" applyFont="1" applyFill="1" applyAlignment="1" applyProtection="1">
      <alignment horizontal="center" vertical="center"/>
      <protection locked="0"/>
    </xf>
    <xf numFmtId="41" fontId="17" fillId="4" borderId="0" xfId="4" applyNumberFormat="1" applyFont="1" applyFill="1" applyAlignment="1" applyProtection="1">
      <alignment horizontal="right" vertical="center"/>
      <protection locked="0"/>
    </xf>
    <xf numFmtId="195" fontId="17" fillId="2" borderId="34" xfId="7" applyNumberFormat="1" applyFont="1" applyFill="1" applyBorder="1" applyAlignment="1" applyProtection="1">
      <alignment horizontal="right" vertical="center"/>
    </xf>
    <xf numFmtId="195" fontId="17" fillId="2" borderId="66" xfId="7" applyNumberFormat="1" applyFont="1" applyFill="1" applyBorder="1" applyAlignment="1" applyProtection="1">
      <alignment horizontal="right" vertical="center"/>
    </xf>
    <xf numFmtId="3" fontId="17" fillId="2" borderId="25" xfId="4" applyNumberFormat="1" applyFont="1" applyFill="1" applyBorder="1" applyAlignment="1">
      <alignment horizontal="center" vertical="center"/>
    </xf>
    <xf numFmtId="0" fontId="17" fillId="2" borderId="25" xfId="4" applyFont="1" applyFill="1" applyBorder="1" applyAlignment="1">
      <alignment horizontal="right" vertical="center" indent="1"/>
    </xf>
    <xf numFmtId="3" fontId="17" fillId="2" borderId="0" xfId="4" applyNumberFormat="1" applyFont="1" applyFill="1" applyAlignment="1">
      <alignment horizontal="center" vertical="center"/>
    </xf>
    <xf numFmtId="0" fontId="17" fillId="2" borderId="0" xfId="4" applyFont="1" applyFill="1" applyAlignment="1">
      <alignment horizontal="right" vertical="center" indent="1"/>
    </xf>
    <xf numFmtId="0" fontId="17" fillId="2" borderId="0" xfId="4" applyFont="1" applyFill="1" applyAlignment="1">
      <alignment horizontal="center" vertical="center"/>
    </xf>
    <xf numFmtId="0" fontId="17" fillId="2" borderId="13" xfId="4" applyFont="1" applyFill="1" applyBorder="1" applyAlignment="1">
      <alignment horizontal="center" vertical="center"/>
    </xf>
    <xf numFmtId="3" fontId="17" fillId="2" borderId="34" xfId="4" applyNumberFormat="1" applyFont="1" applyFill="1" applyBorder="1" applyAlignment="1">
      <alignment horizontal="center" vertical="center"/>
    </xf>
    <xf numFmtId="3" fontId="17" fillId="2" borderId="33" xfId="4" applyNumberFormat="1" applyFont="1" applyFill="1" applyBorder="1" applyAlignment="1">
      <alignment horizontal="center" vertical="center"/>
    </xf>
    <xf numFmtId="195" fontId="17" fillId="2" borderId="34" xfId="4" applyNumberFormat="1" applyFont="1" applyFill="1" applyBorder="1" applyAlignment="1">
      <alignment horizontal="center" vertical="center"/>
    </xf>
    <xf numFmtId="195" fontId="17" fillId="2" borderId="33" xfId="4" applyNumberFormat="1" applyFont="1" applyFill="1" applyBorder="1" applyAlignment="1">
      <alignment horizontal="center" vertical="center"/>
    </xf>
    <xf numFmtId="3" fontId="17" fillId="2" borderId="73" xfId="4" applyNumberFormat="1" applyFont="1" applyFill="1" applyBorder="1" applyAlignment="1">
      <alignment horizontal="center" vertical="center"/>
    </xf>
    <xf numFmtId="3" fontId="17" fillId="2" borderId="58" xfId="4" applyNumberFormat="1" applyFont="1" applyFill="1" applyBorder="1" applyAlignment="1">
      <alignment horizontal="center" vertical="center"/>
    </xf>
    <xf numFmtId="0" fontId="17" fillId="2" borderId="64" xfId="4" applyFont="1" applyFill="1" applyBorder="1" applyAlignment="1">
      <alignment horizontal="center" vertical="center"/>
    </xf>
    <xf numFmtId="9" fontId="17" fillId="2" borderId="71" xfId="4" applyNumberFormat="1" applyFont="1" applyFill="1" applyBorder="1" applyAlignment="1">
      <alignment horizontal="center" vertical="center"/>
    </xf>
    <xf numFmtId="0" fontId="17" fillId="2" borderId="9" xfId="4" applyFont="1" applyFill="1" applyBorder="1" applyAlignment="1">
      <alignment horizontal="right" vertical="center"/>
    </xf>
    <xf numFmtId="0" fontId="17" fillId="2" borderId="26" xfId="4" applyFont="1" applyFill="1" applyBorder="1" applyAlignment="1">
      <alignment horizontal="right" vertical="center"/>
    </xf>
    <xf numFmtId="41" fontId="17" fillId="2" borderId="70" xfId="4" applyNumberFormat="1" applyFont="1" applyFill="1" applyBorder="1" applyAlignment="1">
      <alignment horizontal="center" vertical="center"/>
    </xf>
    <xf numFmtId="41" fontId="17" fillId="2" borderId="33" xfId="4" applyNumberFormat="1" applyFont="1" applyFill="1" applyBorder="1" applyAlignment="1">
      <alignment horizontal="center" vertical="center"/>
    </xf>
    <xf numFmtId="0" fontId="16" fillId="2" borderId="46" xfId="4" applyFont="1" applyFill="1" applyBorder="1" applyAlignment="1">
      <alignment horizontal="center" vertical="center" wrapText="1"/>
    </xf>
    <xf numFmtId="0" fontId="16" fillId="2" borderId="47" xfId="4" applyFont="1" applyFill="1" applyBorder="1" applyAlignment="1">
      <alignment horizontal="center" vertical="center" wrapText="1"/>
    </xf>
    <xf numFmtId="201" fontId="17" fillId="2" borderId="73" xfId="4" applyNumberFormat="1" applyFont="1" applyFill="1" applyBorder="1" applyAlignment="1">
      <alignment horizontal="center" vertical="center"/>
    </xf>
    <xf numFmtId="201" fontId="17" fillId="2" borderId="59" xfId="4" applyNumberFormat="1" applyFont="1" applyFill="1" applyBorder="1" applyAlignment="1">
      <alignment horizontal="center" vertical="center"/>
    </xf>
    <xf numFmtId="201" fontId="17" fillId="2" borderId="58" xfId="4" applyNumberFormat="1" applyFont="1" applyFill="1" applyBorder="1" applyAlignment="1">
      <alignment horizontal="center" vertical="center"/>
    </xf>
    <xf numFmtId="201" fontId="17" fillId="2" borderId="60" xfId="4" applyNumberFormat="1" applyFont="1" applyFill="1" applyBorder="1" applyAlignment="1">
      <alignment horizontal="center" vertical="center"/>
    </xf>
    <xf numFmtId="0" fontId="3" fillId="0" borderId="8" xfId="0" quotePrefix="1" applyFont="1" applyBorder="1" applyAlignment="1">
      <alignment horizontal="left" vertical="center" wrapText="1"/>
    </xf>
    <xf numFmtId="0" fontId="3" fillId="0" borderId="9" xfId="0" quotePrefix="1" applyFont="1" applyBorder="1" applyAlignment="1">
      <alignment horizontal="left" vertical="center" wrapText="1"/>
    </xf>
    <xf numFmtId="0" fontId="3" fillId="0" borderId="10" xfId="0" quotePrefix="1" applyFont="1" applyBorder="1" applyAlignment="1">
      <alignment horizontal="left" vertical="center" wrapText="1"/>
    </xf>
    <xf numFmtId="176" fontId="3" fillId="0" borderId="8" xfId="0" applyNumberFormat="1" applyFont="1" applyBorder="1" applyAlignment="1">
      <alignment horizontal="center" vertical="center" wrapText="1"/>
    </xf>
    <xf numFmtId="176" fontId="3" fillId="0" borderId="10" xfId="0" applyNumberFormat="1" applyFont="1" applyBorder="1" applyAlignment="1">
      <alignment horizontal="center" vertical="center" wrapText="1"/>
    </xf>
    <xf numFmtId="207" fontId="3" fillId="0" borderId="8" xfId="0" applyNumberFormat="1" applyFont="1" applyBorder="1" applyAlignment="1">
      <alignment horizontal="center" vertical="center" wrapText="1"/>
    </xf>
    <xf numFmtId="207" fontId="3" fillId="0" borderId="10" xfId="0" applyNumberFormat="1" applyFont="1" applyBorder="1" applyAlignment="1">
      <alignment horizontal="center" vertical="center" wrapText="1"/>
    </xf>
    <xf numFmtId="206" fontId="3" fillId="0" borderId="8" xfId="0" applyNumberFormat="1" applyFont="1" applyBorder="1" applyAlignment="1">
      <alignment horizontal="center" vertical="center" wrapText="1"/>
    </xf>
    <xf numFmtId="206" fontId="3" fillId="0" borderId="10" xfId="0" applyNumberFormat="1" applyFont="1" applyBorder="1" applyAlignment="1">
      <alignment horizontal="center" vertical="center" wrapText="1"/>
    </xf>
    <xf numFmtId="0" fontId="4" fillId="0" borderId="8" xfId="0" quotePrefix="1" applyFont="1" applyBorder="1" applyAlignment="1">
      <alignment horizontal="center" vertical="center" wrapText="1"/>
    </xf>
    <xf numFmtId="0" fontId="4" fillId="0" borderId="9" xfId="0" quotePrefix="1" applyFont="1" applyBorder="1" applyAlignment="1">
      <alignment horizontal="center" vertical="center" wrapText="1"/>
    </xf>
    <xf numFmtId="0" fontId="4" fillId="0" borderId="10" xfId="0" quotePrefix="1" applyFont="1" applyBorder="1" applyAlignment="1">
      <alignment horizontal="center" vertical="center" wrapText="1"/>
    </xf>
    <xf numFmtId="176" fontId="4" fillId="0" borderId="8" xfId="0" applyNumberFormat="1" applyFont="1" applyBorder="1" applyAlignment="1">
      <alignment horizontal="center" vertical="center" wrapText="1"/>
    </xf>
    <xf numFmtId="176" fontId="4" fillId="0" borderId="10" xfId="0" applyNumberFormat="1" applyFont="1" applyBorder="1" applyAlignment="1">
      <alignment horizontal="center" vertical="center" wrapText="1"/>
    </xf>
    <xf numFmtId="0" fontId="4" fillId="0" borderId="11" xfId="0" quotePrefix="1" applyFont="1" applyBorder="1" applyAlignment="1">
      <alignment horizontal="center" vertical="center"/>
    </xf>
    <xf numFmtId="0" fontId="4" fillId="0" borderId="11" xfId="0" quotePrefix="1" applyFont="1" applyBorder="1" applyAlignment="1">
      <alignment horizontal="center" vertical="center" wrapText="1"/>
    </xf>
    <xf numFmtId="0" fontId="3" fillId="0" borderId="11" xfId="0" quotePrefix="1" applyFont="1" applyBorder="1" applyAlignment="1">
      <alignment horizontal="center" vertical="center" wrapText="1"/>
    </xf>
    <xf numFmtId="206" fontId="3" fillId="0" borderId="11" xfId="0" quotePrefix="1" applyNumberFormat="1" applyFont="1" applyBorder="1" applyAlignment="1">
      <alignment horizontal="center" vertical="center" wrapText="1"/>
    </xf>
    <xf numFmtId="0" fontId="4" fillId="0" borderId="5" xfId="0" quotePrefix="1" applyFont="1" applyBorder="1" applyAlignment="1">
      <alignment horizontal="center" vertical="center"/>
    </xf>
    <xf numFmtId="0" fontId="4" fillId="0" borderId="5" xfId="0" quotePrefix="1" applyFont="1" applyBorder="1" applyAlignment="1">
      <alignment horizontal="center" vertical="center" wrapText="1"/>
    </xf>
    <xf numFmtId="0" fontId="0" fillId="0" borderId="0" xfId="0" quotePrefix="1">
      <alignment vertical="center"/>
    </xf>
    <xf numFmtId="0" fontId="0" fillId="0" borderId="8" xfId="0" quotePrefix="1" applyBorder="1">
      <alignment vertical="center"/>
    </xf>
    <xf numFmtId="0" fontId="0" fillId="0" borderId="9" xfId="0" quotePrefix="1" applyBorder="1">
      <alignment vertical="center"/>
    </xf>
    <xf numFmtId="0" fontId="0" fillId="0" borderId="10" xfId="0" quotePrefix="1" applyBorder="1">
      <alignment vertical="center"/>
    </xf>
    <xf numFmtId="0" fontId="2" fillId="0" borderId="0" xfId="0" applyFont="1" applyAlignment="1">
      <alignment horizontal="center" vertical="center"/>
    </xf>
  </cellXfs>
  <cellStyles count="10">
    <cellStyle name="백분율" xfId="2" builtinId="5"/>
    <cellStyle name="쉼표 [0]" xfId="1" builtinId="6"/>
    <cellStyle name="쉼표 [0] 2" xfId="7" xr:uid="{22043B0B-ED86-4FC6-A8A6-3ABAAF37E1F6}"/>
    <cellStyle name="쉼표 [0] 3" xfId="8" xr:uid="{CE23769F-FEAC-49F4-A652-1D4901FB037B}"/>
    <cellStyle name="쉼표 [0]_새로운내역폼5" xfId="6" xr:uid="{E41D8A03-E32B-487C-A652-D5C6F3872333}"/>
    <cellStyle name="표준" xfId="0" builtinId="0"/>
    <cellStyle name="표준 2" xfId="9" xr:uid="{2914A696-8BDF-4ABB-B6D1-B6328CB49AF3}"/>
    <cellStyle name="표준_새로운내역폼5" xfId="5" xr:uid="{C277B438-2CC7-4622-9AF2-B33189244C73}"/>
    <cellStyle name="표준_원가계산서" xfId="4" xr:uid="{78E3DC22-0042-4651-BCF1-FF1E28AE3538}"/>
    <cellStyle name="표준_전기내역서" xfId="3" xr:uid="{83E1B4EA-906E-4148-BD37-87B923470F61}"/>
  </cellStyles>
  <dxfs count="1">
    <dxf>
      <font>
        <b/>
        <i/>
        <condense val="0"/>
        <extend val="0"/>
        <color indexed="9"/>
      </font>
      <fill>
        <patternFill>
          <bgColor indexed="8"/>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19050</xdr:colOff>
      <xdr:row>3</xdr:row>
      <xdr:rowOff>57150</xdr:rowOff>
    </xdr:from>
    <xdr:to>
      <xdr:col>1</xdr:col>
      <xdr:colOff>390525</xdr:colOff>
      <xdr:row>4</xdr:row>
      <xdr:rowOff>28575</xdr:rowOff>
    </xdr:to>
    <xdr:sp macro="" textlink="">
      <xdr:nvSpPr>
        <xdr:cNvPr id="2" name="Text Box 4">
          <a:extLst>
            <a:ext uri="{FF2B5EF4-FFF2-40B4-BE49-F238E27FC236}">
              <a16:creationId xmlns:a16="http://schemas.microsoft.com/office/drawing/2014/main" id="{38EA0DA0-0182-4D4B-907D-E0F588A4E4A2}"/>
            </a:ext>
          </a:extLst>
        </xdr:cNvPr>
        <xdr:cNvSpPr txBox="1">
          <a:spLocks noChangeArrowheads="1"/>
        </xdr:cNvSpPr>
      </xdr:nvSpPr>
      <xdr:spPr bwMode="auto">
        <a:xfrm>
          <a:off x="19050" y="685800"/>
          <a:ext cx="1028700" cy="247650"/>
        </a:xfrm>
        <a:prstGeom prst="rect">
          <a:avLst/>
        </a:prstGeom>
        <a:noFill/>
        <a:ln w="9525">
          <a:noFill/>
          <a:miter lim="800000"/>
          <a:headEnd/>
          <a:tailEnd/>
        </a:ln>
      </xdr:spPr>
      <xdr:txBody>
        <a:bodyPr vertOverflow="clip" wrap="square" lIns="27432" tIns="18288" rIns="27432" bIns="18288" anchor="ctr" upright="1"/>
        <a:lstStyle/>
        <a:p>
          <a:pPr algn="ctr" rtl="1">
            <a:defRPr sz="1000"/>
          </a:pPr>
          <a:r>
            <a:rPr lang="ko-KR" altLang="en-US" sz="900" b="0" i="0" strike="noStrike">
              <a:solidFill>
                <a:srgbClr val="000000"/>
              </a:solidFill>
              <a:latin typeface="굴림체"/>
              <a:ea typeface="굴림체"/>
            </a:rPr>
            <a:t>비     목</a:t>
          </a:r>
        </a:p>
      </xdr:txBody>
    </xdr:sp>
    <xdr:clientData/>
  </xdr:twoCellAnchor>
  <xdr:twoCellAnchor>
    <xdr:from>
      <xdr:col>2</xdr:col>
      <xdr:colOff>828675</xdr:colOff>
      <xdr:row>3</xdr:row>
      <xdr:rowOff>9525</xdr:rowOff>
    </xdr:from>
    <xdr:to>
      <xdr:col>2</xdr:col>
      <xdr:colOff>1543050</xdr:colOff>
      <xdr:row>3</xdr:row>
      <xdr:rowOff>285750</xdr:rowOff>
    </xdr:to>
    <xdr:sp macro="" textlink="">
      <xdr:nvSpPr>
        <xdr:cNvPr id="3" name="Text Box 5">
          <a:extLst>
            <a:ext uri="{FF2B5EF4-FFF2-40B4-BE49-F238E27FC236}">
              <a16:creationId xmlns:a16="http://schemas.microsoft.com/office/drawing/2014/main" id="{FAE38E33-9DC4-450B-8ABB-6B350CDBFE1C}"/>
            </a:ext>
          </a:extLst>
        </xdr:cNvPr>
        <xdr:cNvSpPr txBox="1">
          <a:spLocks noChangeArrowheads="1"/>
        </xdr:cNvSpPr>
      </xdr:nvSpPr>
      <xdr:spPr bwMode="auto">
        <a:xfrm>
          <a:off x="2143125" y="638175"/>
          <a:ext cx="714375" cy="266700"/>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ko-KR" altLang="en-US" sz="900" b="0" i="0" strike="noStrike">
              <a:solidFill>
                <a:srgbClr val="000000"/>
              </a:solidFill>
              <a:latin typeface="굴림체"/>
              <a:ea typeface="굴림체"/>
            </a:rPr>
            <a:t>구      분</a:t>
          </a:r>
        </a:p>
      </xdr:txBody>
    </xdr:sp>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0CF399-B0FA-4927-B4B9-82B7D7797651}">
  <sheetPr>
    <tabColor indexed="14"/>
  </sheetPr>
  <dimension ref="A1:AB87"/>
  <sheetViews>
    <sheetView showZeros="0" view="pageBreakPreview" zoomScale="145" zoomScaleNormal="95" zoomScaleSheetLayoutView="145" workbookViewId="0">
      <pane xSplit="3" ySplit="4" topLeftCell="F5" activePane="bottomRight" state="frozen"/>
      <selection activeCell="C37" sqref="C37:D37"/>
      <selection pane="topRight" activeCell="C37" sqref="C37:D37"/>
      <selection pane="bottomLeft" activeCell="C37" sqref="C37:D37"/>
      <selection pane="bottomRight" activeCell="J15" sqref="J15"/>
    </sheetView>
  </sheetViews>
  <sheetFormatPr defaultColWidth="10" defaultRowHeight="20.100000000000001" customHeight="1" x14ac:dyDescent="0.15"/>
  <cols>
    <col min="1" max="2" width="8.625" style="20" customWidth="1"/>
    <col min="3" max="3" width="21.75" style="20" customWidth="1"/>
    <col min="4" max="4" width="25.625" style="20" customWidth="1"/>
    <col min="5" max="5" width="30.625" style="20" customWidth="1"/>
    <col min="6" max="6" width="5.625" style="20" customWidth="1"/>
    <col min="7" max="7" width="1.875" style="20" customWidth="1"/>
    <col min="8" max="8" width="39.625" style="20" customWidth="1"/>
    <col min="9" max="9" width="2.25" style="20" customWidth="1"/>
    <col min="10" max="10" width="20" style="21" customWidth="1"/>
    <col min="11" max="11" width="18.125" style="21" customWidth="1"/>
    <col min="12" max="12" width="12.875" style="21" customWidth="1"/>
    <col min="13" max="13" width="10" style="22" customWidth="1"/>
    <col min="14" max="18" width="17.625" style="21" customWidth="1"/>
    <col min="19" max="19" width="17.625" style="22" customWidth="1"/>
    <col min="20" max="20" width="17.625" style="21" customWidth="1"/>
    <col min="21" max="23" width="17.625" style="22" customWidth="1"/>
    <col min="24" max="24" width="35.625" style="22" customWidth="1"/>
    <col min="25" max="28" width="10" style="23"/>
    <col min="29" max="246" width="10" style="20"/>
    <col min="247" max="247" width="5.625" style="20" customWidth="1"/>
    <col min="248" max="248" width="8.625" style="20" customWidth="1"/>
    <col min="249" max="249" width="21.75" style="20" customWidth="1"/>
    <col min="250" max="250" width="20.625" style="20" customWidth="1"/>
    <col min="251" max="251" width="26.625" style="20" customWidth="1"/>
    <col min="252" max="252" width="5.25" style="20" customWidth="1"/>
    <col min="253" max="253" width="1.875" style="20" customWidth="1"/>
    <col min="254" max="254" width="32.625" style="20" customWidth="1"/>
    <col min="255" max="255" width="2.25" style="20" customWidth="1"/>
    <col min="256" max="256" width="19.875" style="20" bestFit="1" customWidth="1"/>
    <col min="257" max="257" width="18.125" style="20" customWidth="1"/>
    <col min="258" max="258" width="7.625" style="20" customWidth="1"/>
    <col min="259" max="260" width="0" style="20" hidden="1" customWidth="1"/>
    <col min="261" max="261" width="15" style="20" customWidth="1"/>
    <col min="262" max="262" width="16.25" style="20" customWidth="1"/>
    <col min="263" max="263" width="16.5" style="20" customWidth="1"/>
    <col min="264" max="264" width="16.125" style="20" bestFit="1" customWidth="1"/>
    <col min="265" max="265" width="15" style="20" bestFit="1" customWidth="1"/>
    <col min="266" max="267" width="10" style="20"/>
    <col min="268" max="269" width="11.625" style="20" bestFit="1" customWidth="1"/>
    <col min="270" max="271" width="10" style="20"/>
    <col min="272" max="272" width="33.875" style="20" bestFit="1" customWidth="1"/>
    <col min="273" max="502" width="10" style="20"/>
    <col min="503" max="503" width="5.625" style="20" customWidth="1"/>
    <col min="504" max="504" width="8.625" style="20" customWidth="1"/>
    <col min="505" max="505" width="21.75" style="20" customWidth="1"/>
    <col min="506" max="506" width="20.625" style="20" customWidth="1"/>
    <col min="507" max="507" width="26.625" style="20" customWidth="1"/>
    <col min="508" max="508" width="5.25" style="20" customWidth="1"/>
    <col min="509" max="509" width="1.875" style="20" customWidth="1"/>
    <col min="510" max="510" width="32.625" style="20" customWidth="1"/>
    <col min="511" max="511" width="2.25" style="20" customWidth="1"/>
    <col min="512" max="512" width="19.875" style="20" bestFit="1" customWidth="1"/>
    <col min="513" max="513" width="18.125" style="20" customWidth="1"/>
    <col min="514" max="514" width="7.625" style="20" customWidth="1"/>
    <col min="515" max="516" width="0" style="20" hidden="1" customWidth="1"/>
    <col min="517" max="517" width="15" style="20" customWidth="1"/>
    <col min="518" max="518" width="16.25" style="20" customWidth="1"/>
    <col min="519" max="519" width="16.5" style="20" customWidth="1"/>
    <col min="520" max="520" width="16.125" style="20" bestFit="1" customWidth="1"/>
    <col min="521" max="521" width="15" style="20" bestFit="1" customWidth="1"/>
    <col min="522" max="523" width="10" style="20"/>
    <col min="524" max="525" width="11.625" style="20" bestFit="1" customWidth="1"/>
    <col min="526" max="527" width="10" style="20"/>
    <col min="528" max="528" width="33.875" style="20" bestFit="1" customWidth="1"/>
    <col min="529" max="758" width="10" style="20"/>
    <col min="759" max="759" width="5.625" style="20" customWidth="1"/>
    <col min="760" max="760" width="8.625" style="20" customWidth="1"/>
    <col min="761" max="761" width="21.75" style="20" customWidth="1"/>
    <col min="762" max="762" width="20.625" style="20" customWidth="1"/>
    <col min="763" max="763" width="26.625" style="20" customWidth="1"/>
    <col min="764" max="764" width="5.25" style="20" customWidth="1"/>
    <col min="765" max="765" width="1.875" style="20" customWidth="1"/>
    <col min="766" max="766" width="32.625" style="20" customWidth="1"/>
    <col min="767" max="767" width="2.25" style="20" customWidth="1"/>
    <col min="768" max="768" width="19.875" style="20" bestFit="1" customWidth="1"/>
    <col min="769" max="769" width="18.125" style="20" customWidth="1"/>
    <col min="770" max="770" width="7.625" style="20" customWidth="1"/>
    <col min="771" max="772" width="0" style="20" hidden="1" customWidth="1"/>
    <col min="773" max="773" width="15" style="20" customWidth="1"/>
    <col min="774" max="774" width="16.25" style="20" customWidth="1"/>
    <col min="775" max="775" width="16.5" style="20" customWidth="1"/>
    <col min="776" max="776" width="16.125" style="20" bestFit="1" customWidth="1"/>
    <col min="777" max="777" width="15" style="20" bestFit="1" customWidth="1"/>
    <col min="778" max="779" width="10" style="20"/>
    <col min="780" max="781" width="11.625" style="20" bestFit="1" customWidth="1"/>
    <col min="782" max="783" width="10" style="20"/>
    <col min="784" max="784" width="33.875" style="20" bestFit="1" customWidth="1"/>
    <col min="785" max="1014" width="10" style="20"/>
    <col min="1015" max="1015" width="5.625" style="20" customWidth="1"/>
    <col min="1016" max="1016" width="8.625" style="20" customWidth="1"/>
    <col min="1017" max="1017" width="21.75" style="20" customWidth="1"/>
    <col min="1018" max="1018" width="20.625" style="20" customWidth="1"/>
    <col min="1019" max="1019" width="26.625" style="20" customWidth="1"/>
    <col min="1020" max="1020" width="5.25" style="20" customWidth="1"/>
    <col min="1021" max="1021" width="1.875" style="20" customWidth="1"/>
    <col min="1022" max="1022" width="32.625" style="20" customWidth="1"/>
    <col min="1023" max="1023" width="2.25" style="20" customWidth="1"/>
    <col min="1024" max="1024" width="19.875" style="20" bestFit="1" customWidth="1"/>
    <col min="1025" max="1025" width="18.125" style="20" customWidth="1"/>
    <col min="1026" max="1026" width="7.625" style="20" customWidth="1"/>
    <col min="1027" max="1028" width="0" style="20" hidden="1" customWidth="1"/>
    <col min="1029" max="1029" width="15" style="20" customWidth="1"/>
    <col min="1030" max="1030" width="16.25" style="20" customWidth="1"/>
    <col min="1031" max="1031" width="16.5" style="20" customWidth="1"/>
    <col min="1032" max="1032" width="16.125" style="20" bestFit="1" customWidth="1"/>
    <col min="1033" max="1033" width="15" style="20" bestFit="1" customWidth="1"/>
    <col min="1034" max="1035" width="10" style="20"/>
    <col min="1036" max="1037" width="11.625" style="20" bestFit="1" customWidth="1"/>
    <col min="1038" max="1039" width="10" style="20"/>
    <col min="1040" max="1040" width="33.875" style="20" bestFit="1" customWidth="1"/>
    <col min="1041" max="1270" width="10" style="20"/>
    <col min="1271" max="1271" width="5.625" style="20" customWidth="1"/>
    <col min="1272" max="1272" width="8.625" style="20" customWidth="1"/>
    <col min="1273" max="1273" width="21.75" style="20" customWidth="1"/>
    <col min="1274" max="1274" width="20.625" style="20" customWidth="1"/>
    <col min="1275" max="1275" width="26.625" style="20" customWidth="1"/>
    <col min="1276" max="1276" width="5.25" style="20" customWidth="1"/>
    <col min="1277" max="1277" width="1.875" style="20" customWidth="1"/>
    <col min="1278" max="1278" width="32.625" style="20" customWidth="1"/>
    <col min="1279" max="1279" width="2.25" style="20" customWidth="1"/>
    <col min="1280" max="1280" width="19.875" style="20" bestFit="1" customWidth="1"/>
    <col min="1281" max="1281" width="18.125" style="20" customWidth="1"/>
    <col min="1282" max="1282" width="7.625" style="20" customWidth="1"/>
    <col min="1283" max="1284" width="0" style="20" hidden="1" customWidth="1"/>
    <col min="1285" max="1285" width="15" style="20" customWidth="1"/>
    <col min="1286" max="1286" width="16.25" style="20" customWidth="1"/>
    <col min="1287" max="1287" width="16.5" style="20" customWidth="1"/>
    <col min="1288" max="1288" width="16.125" style="20" bestFit="1" customWidth="1"/>
    <col min="1289" max="1289" width="15" style="20" bestFit="1" customWidth="1"/>
    <col min="1290" max="1291" width="10" style="20"/>
    <col min="1292" max="1293" width="11.625" style="20" bestFit="1" customWidth="1"/>
    <col min="1294" max="1295" width="10" style="20"/>
    <col min="1296" max="1296" width="33.875" style="20" bestFit="1" customWidth="1"/>
    <col min="1297" max="1526" width="10" style="20"/>
    <col min="1527" max="1527" width="5.625" style="20" customWidth="1"/>
    <col min="1528" max="1528" width="8.625" style="20" customWidth="1"/>
    <col min="1529" max="1529" width="21.75" style="20" customWidth="1"/>
    <col min="1530" max="1530" width="20.625" style="20" customWidth="1"/>
    <col min="1531" max="1531" width="26.625" style="20" customWidth="1"/>
    <col min="1532" max="1532" width="5.25" style="20" customWidth="1"/>
    <col min="1533" max="1533" width="1.875" style="20" customWidth="1"/>
    <col min="1534" max="1534" width="32.625" style="20" customWidth="1"/>
    <col min="1535" max="1535" width="2.25" style="20" customWidth="1"/>
    <col min="1536" max="1536" width="19.875" style="20" bestFit="1" customWidth="1"/>
    <col min="1537" max="1537" width="18.125" style="20" customWidth="1"/>
    <col min="1538" max="1538" width="7.625" style="20" customWidth="1"/>
    <col min="1539" max="1540" width="0" style="20" hidden="1" customWidth="1"/>
    <col min="1541" max="1541" width="15" style="20" customWidth="1"/>
    <col min="1542" max="1542" width="16.25" style="20" customWidth="1"/>
    <col min="1543" max="1543" width="16.5" style="20" customWidth="1"/>
    <col min="1544" max="1544" width="16.125" style="20" bestFit="1" customWidth="1"/>
    <col min="1545" max="1545" width="15" style="20" bestFit="1" customWidth="1"/>
    <col min="1546" max="1547" width="10" style="20"/>
    <col min="1548" max="1549" width="11.625" style="20" bestFit="1" customWidth="1"/>
    <col min="1550" max="1551" width="10" style="20"/>
    <col min="1552" max="1552" width="33.875" style="20" bestFit="1" customWidth="1"/>
    <col min="1553" max="1782" width="10" style="20"/>
    <col min="1783" max="1783" width="5.625" style="20" customWidth="1"/>
    <col min="1784" max="1784" width="8.625" style="20" customWidth="1"/>
    <col min="1785" max="1785" width="21.75" style="20" customWidth="1"/>
    <col min="1786" max="1786" width="20.625" style="20" customWidth="1"/>
    <col min="1787" max="1787" width="26.625" style="20" customWidth="1"/>
    <col min="1788" max="1788" width="5.25" style="20" customWidth="1"/>
    <col min="1789" max="1789" width="1.875" style="20" customWidth="1"/>
    <col min="1790" max="1790" width="32.625" style="20" customWidth="1"/>
    <col min="1791" max="1791" width="2.25" style="20" customWidth="1"/>
    <col min="1792" max="1792" width="19.875" style="20" bestFit="1" customWidth="1"/>
    <col min="1793" max="1793" width="18.125" style="20" customWidth="1"/>
    <col min="1794" max="1794" width="7.625" style="20" customWidth="1"/>
    <col min="1795" max="1796" width="0" style="20" hidden="1" customWidth="1"/>
    <col min="1797" max="1797" width="15" style="20" customWidth="1"/>
    <col min="1798" max="1798" width="16.25" style="20" customWidth="1"/>
    <col min="1799" max="1799" width="16.5" style="20" customWidth="1"/>
    <col min="1800" max="1800" width="16.125" style="20" bestFit="1" customWidth="1"/>
    <col min="1801" max="1801" width="15" style="20" bestFit="1" customWidth="1"/>
    <col min="1802" max="1803" width="10" style="20"/>
    <col min="1804" max="1805" width="11.625" style="20" bestFit="1" customWidth="1"/>
    <col min="1806" max="1807" width="10" style="20"/>
    <col min="1808" max="1808" width="33.875" style="20" bestFit="1" customWidth="1"/>
    <col min="1809" max="2038" width="10" style="20"/>
    <col min="2039" max="2039" width="5.625" style="20" customWidth="1"/>
    <col min="2040" max="2040" width="8.625" style="20" customWidth="1"/>
    <col min="2041" max="2041" width="21.75" style="20" customWidth="1"/>
    <col min="2042" max="2042" width="20.625" style="20" customWidth="1"/>
    <col min="2043" max="2043" width="26.625" style="20" customWidth="1"/>
    <col min="2044" max="2044" width="5.25" style="20" customWidth="1"/>
    <col min="2045" max="2045" width="1.875" style="20" customWidth="1"/>
    <col min="2046" max="2046" width="32.625" style="20" customWidth="1"/>
    <col min="2047" max="2047" width="2.25" style="20" customWidth="1"/>
    <col min="2048" max="2048" width="19.875" style="20" bestFit="1" customWidth="1"/>
    <col min="2049" max="2049" width="18.125" style="20" customWidth="1"/>
    <col min="2050" max="2050" width="7.625" style="20" customWidth="1"/>
    <col min="2051" max="2052" width="0" style="20" hidden="1" customWidth="1"/>
    <col min="2053" max="2053" width="15" style="20" customWidth="1"/>
    <col min="2054" max="2054" width="16.25" style="20" customWidth="1"/>
    <col min="2055" max="2055" width="16.5" style="20" customWidth="1"/>
    <col min="2056" max="2056" width="16.125" style="20" bestFit="1" customWidth="1"/>
    <col min="2057" max="2057" width="15" style="20" bestFit="1" customWidth="1"/>
    <col min="2058" max="2059" width="10" style="20"/>
    <col min="2060" max="2061" width="11.625" style="20" bestFit="1" customWidth="1"/>
    <col min="2062" max="2063" width="10" style="20"/>
    <col min="2064" max="2064" width="33.875" style="20" bestFit="1" customWidth="1"/>
    <col min="2065" max="2294" width="10" style="20"/>
    <col min="2295" max="2295" width="5.625" style="20" customWidth="1"/>
    <col min="2296" max="2296" width="8.625" style="20" customWidth="1"/>
    <col min="2297" max="2297" width="21.75" style="20" customWidth="1"/>
    <col min="2298" max="2298" width="20.625" style="20" customWidth="1"/>
    <col min="2299" max="2299" width="26.625" style="20" customWidth="1"/>
    <col min="2300" max="2300" width="5.25" style="20" customWidth="1"/>
    <col min="2301" max="2301" width="1.875" style="20" customWidth="1"/>
    <col min="2302" max="2302" width="32.625" style="20" customWidth="1"/>
    <col min="2303" max="2303" width="2.25" style="20" customWidth="1"/>
    <col min="2304" max="2304" width="19.875" style="20" bestFit="1" customWidth="1"/>
    <col min="2305" max="2305" width="18.125" style="20" customWidth="1"/>
    <col min="2306" max="2306" width="7.625" style="20" customWidth="1"/>
    <col min="2307" max="2308" width="0" style="20" hidden="1" customWidth="1"/>
    <col min="2309" max="2309" width="15" style="20" customWidth="1"/>
    <col min="2310" max="2310" width="16.25" style="20" customWidth="1"/>
    <col min="2311" max="2311" width="16.5" style="20" customWidth="1"/>
    <col min="2312" max="2312" width="16.125" style="20" bestFit="1" customWidth="1"/>
    <col min="2313" max="2313" width="15" style="20" bestFit="1" customWidth="1"/>
    <col min="2314" max="2315" width="10" style="20"/>
    <col min="2316" max="2317" width="11.625" style="20" bestFit="1" customWidth="1"/>
    <col min="2318" max="2319" width="10" style="20"/>
    <col min="2320" max="2320" width="33.875" style="20" bestFit="1" customWidth="1"/>
    <col min="2321" max="2550" width="10" style="20"/>
    <col min="2551" max="2551" width="5.625" style="20" customWidth="1"/>
    <col min="2552" max="2552" width="8.625" style="20" customWidth="1"/>
    <col min="2553" max="2553" width="21.75" style="20" customWidth="1"/>
    <col min="2554" max="2554" width="20.625" style="20" customWidth="1"/>
    <col min="2555" max="2555" width="26.625" style="20" customWidth="1"/>
    <col min="2556" max="2556" width="5.25" style="20" customWidth="1"/>
    <col min="2557" max="2557" width="1.875" style="20" customWidth="1"/>
    <col min="2558" max="2558" width="32.625" style="20" customWidth="1"/>
    <col min="2559" max="2559" width="2.25" style="20" customWidth="1"/>
    <col min="2560" max="2560" width="19.875" style="20" bestFit="1" customWidth="1"/>
    <col min="2561" max="2561" width="18.125" style="20" customWidth="1"/>
    <col min="2562" max="2562" width="7.625" style="20" customWidth="1"/>
    <col min="2563" max="2564" width="0" style="20" hidden="1" customWidth="1"/>
    <col min="2565" max="2565" width="15" style="20" customWidth="1"/>
    <col min="2566" max="2566" width="16.25" style="20" customWidth="1"/>
    <col min="2567" max="2567" width="16.5" style="20" customWidth="1"/>
    <col min="2568" max="2568" width="16.125" style="20" bestFit="1" customWidth="1"/>
    <col min="2569" max="2569" width="15" style="20" bestFit="1" customWidth="1"/>
    <col min="2570" max="2571" width="10" style="20"/>
    <col min="2572" max="2573" width="11.625" style="20" bestFit="1" customWidth="1"/>
    <col min="2574" max="2575" width="10" style="20"/>
    <col min="2576" max="2576" width="33.875" style="20" bestFit="1" customWidth="1"/>
    <col min="2577" max="2806" width="10" style="20"/>
    <col min="2807" max="2807" width="5.625" style="20" customWidth="1"/>
    <col min="2808" max="2808" width="8.625" style="20" customWidth="1"/>
    <col min="2809" max="2809" width="21.75" style="20" customWidth="1"/>
    <col min="2810" max="2810" width="20.625" style="20" customWidth="1"/>
    <col min="2811" max="2811" width="26.625" style="20" customWidth="1"/>
    <col min="2812" max="2812" width="5.25" style="20" customWidth="1"/>
    <col min="2813" max="2813" width="1.875" style="20" customWidth="1"/>
    <col min="2814" max="2814" width="32.625" style="20" customWidth="1"/>
    <col min="2815" max="2815" width="2.25" style="20" customWidth="1"/>
    <col min="2816" max="2816" width="19.875" style="20" bestFit="1" customWidth="1"/>
    <col min="2817" max="2817" width="18.125" style="20" customWidth="1"/>
    <col min="2818" max="2818" width="7.625" style="20" customWidth="1"/>
    <col min="2819" max="2820" width="0" style="20" hidden="1" customWidth="1"/>
    <col min="2821" max="2821" width="15" style="20" customWidth="1"/>
    <col min="2822" max="2822" width="16.25" style="20" customWidth="1"/>
    <col min="2823" max="2823" width="16.5" style="20" customWidth="1"/>
    <col min="2824" max="2824" width="16.125" style="20" bestFit="1" customWidth="1"/>
    <col min="2825" max="2825" width="15" style="20" bestFit="1" customWidth="1"/>
    <col min="2826" max="2827" width="10" style="20"/>
    <col min="2828" max="2829" width="11.625" style="20" bestFit="1" customWidth="1"/>
    <col min="2830" max="2831" width="10" style="20"/>
    <col min="2832" max="2832" width="33.875" style="20" bestFit="1" customWidth="1"/>
    <col min="2833" max="3062" width="10" style="20"/>
    <col min="3063" max="3063" width="5.625" style="20" customWidth="1"/>
    <col min="3064" max="3064" width="8.625" style="20" customWidth="1"/>
    <col min="3065" max="3065" width="21.75" style="20" customWidth="1"/>
    <col min="3066" max="3066" width="20.625" style="20" customWidth="1"/>
    <col min="3067" max="3067" width="26.625" style="20" customWidth="1"/>
    <col min="3068" max="3068" width="5.25" style="20" customWidth="1"/>
    <col min="3069" max="3069" width="1.875" style="20" customWidth="1"/>
    <col min="3070" max="3070" width="32.625" style="20" customWidth="1"/>
    <col min="3071" max="3071" width="2.25" style="20" customWidth="1"/>
    <col min="3072" max="3072" width="19.875" style="20" bestFit="1" customWidth="1"/>
    <col min="3073" max="3073" width="18.125" style="20" customWidth="1"/>
    <col min="3074" max="3074" width="7.625" style="20" customWidth="1"/>
    <col min="3075" max="3076" width="0" style="20" hidden="1" customWidth="1"/>
    <col min="3077" max="3077" width="15" style="20" customWidth="1"/>
    <col min="3078" max="3078" width="16.25" style="20" customWidth="1"/>
    <col min="3079" max="3079" width="16.5" style="20" customWidth="1"/>
    <col min="3080" max="3080" width="16.125" style="20" bestFit="1" customWidth="1"/>
    <col min="3081" max="3081" width="15" style="20" bestFit="1" customWidth="1"/>
    <col min="3082" max="3083" width="10" style="20"/>
    <col min="3084" max="3085" width="11.625" style="20" bestFit="1" customWidth="1"/>
    <col min="3086" max="3087" width="10" style="20"/>
    <col min="3088" max="3088" width="33.875" style="20" bestFit="1" customWidth="1"/>
    <col min="3089" max="3318" width="10" style="20"/>
    <col min="3319" max="3319" width="5.625" style="20" customWidth="1"/>
    <col min="3320" max="3320" width="8.625" style="20" customWidth="1"/>
    <col min="3321" max="3321" width="21.75" style="20" customWidth="1"/>
    <col min="3322" max="3322" width="20.625" style="20" customWidth="1"/>
    <col min="3323" max="3323" width="26.625" style="20" customWidth="1"/>
    <col min="3324" max="3324" width="5.25" style="20" customWidth="1"/>
    <col min="3325" max="3325" width="1.875" style="20" customWidth="1"/>
    <col min="3326" max="3326" width="32.625" style="20" customWidth="1"/>
    <col min="3327" max="3327" width="2.25" style="20" customWidth="1"/>
    <col min="3328" max="3328" width="19.875" style="20" bestFit="1" customWidth="1"/>
    <col min="3329" max="3329" width="18.125" style="20" customWidth="1"/>
    <col min="3330" max="3330" width="7.625" style="20" customWidth="1"/>
    <col min="3331" max="3332" width="0" style="20" hidden="1" customWidth="1"/>
    <col min="3333" max="3333" width="15" style="20" customWidth="1"/>
    <col min="3334" max="3334" width="16.25" style="20" customWidth="1"/>
    <col min="3335" max="3335" width="16.5" style="20" customWidth="1"/>
    <col min="3336" max="3336" width="16.125" style="20" bestFit="1" customWidth="1"/>
    <col min="3337" max="3337" width="15" style="20" bestFit="1" customWidth="1"/>
    <col min="3338" max="3339" width="10" style="20"/>
    <col min="3340" max="3341" width="11.625" style="20" bestFit="1" customWidth="1"/>
    <col min="3342" max="3343" width="10" style="20"/>
    <col min="3344" max="3344" width="33.875" style="20" bestFit="1" customWidth="1"/>
    <col min="3345" max="3574" width="10" style="20"/>
    <col min="3575" max="3575" width="5.625" style="20" customWidth="1"/>
    <col min="3576" max="3576" width="8.625" style="20" customWidth="1"/>
    <col min="3577" max="3577" width="21.75" style="20" customWidth="1"/>
    <col min="3578" max="3578" width="20.625" style="20" customWidth="1"/>
    <col min="3579" max="3579" width="26.625" style="20" customWidth="1"/>
    <col min="3580" max="3580" width="5.25" style="20" customWidth="1"/>
    <col min="3581" max="3581" width="1.875" style="20" customWidth="1"/>
    <col min="3582" max="3582" width="32.625" style="20" customWidth="1"/>
    <col min="3583" max="3583" width="2.25" style="20" customWidth="1"/>
    <col min="3584" max="3584" width="19.875" style="20" bestFit="1" customWidth="1"/>
    <col min="3585" max="3585" width="18.125" style="20" customWidth="1"/>
    <col min="3586" max="3586" width="7.625" style="20" customWidth="1"/>
    <col min="3587" max="3588" width="0" style="20" hidden="1" customWidth="1"/>
    <col min="3589" max="3589" width="15" style="20" customWidth="1"/>
    <col min="3590" max="3590" width="16.25" style="20" customWidth="1"/>
    <col min="3591" max="3591" width="16.5" style="20" customWidth="1"/>
    <col min="3592" max="3592" width="16.125" style="20" bestFit="1" customWidth="1"/>
    <col min="3593" max="3593" width="15" style="20" bestFit="1" customWidth="1"/>
    <col min="3594" max="3595" width="10" style="20"/>
    <col min="3596" max="3597" width="11.625" style="20" bestFit="1" customWidth="1"/>
    <col min="3598" max="3599" width="10" style="20"/>
    <col min="3600" max="3600" width="33.875" style="20" bestFit="1" customWidth="1"/>
    <col min="3601" max="3830" width="10" style="20"/>
    <col min="3831" max="3831" width="5.625" style="20" customWidth="1"/>
    <col min="3832" max="3832" width="8.625" style="20" customWidth="1"/>
    <col min="3833" max="3833" width="21.75" style="20" customWidth="1"/>
    <col min="3834" max="3834" width="20.625" style="20" customWidth="1"/>
    <col min="3835" max="3835" width="26.625" style="20" customWidth="1"/>
    <col min="3836" max="3836" width="5.25" style="20" customWidth="1"/>
    <col min="3837" max="3837" width="1.875" style="20" customWidth="1"/>
    <col min="3838" max="3838" width="32.625" style="20" customWidth="1"/>
    <col min="3839" max="3839" width="2.25" style="20" customWidth="1"/>
    <col min="3840" max="3840" width="19.875" style="20" bestFit="1" customWidth="1"/>
    <col min="3841" max="3841" width="18.125" style="20" customWidth="1"/>
    <col min="3842" max="3842" width="7.625" style="20" customWidth="1"/>
    <col min="3843" max="3844" width="0" style="20" hidden="1" customWidth="1"/>
    <col min="3845" max="3845" width="15" style="20" customWidth="1"/>
    <col min="3846" max="3846" width="16.25" style="20" customWidth="1"/>
    <col min="3847" max="3847" width="16.5" style="20" customWidth="1"/>
    <col min="3848" max="3848" width="16.125" style="20" bestFit="1" customWidth="1"/>
    <col min="3849" max="3849" width="15" style="20" bestFit="1" customWidth="1"/>
    <col min="3850" max="3851" width="10" style="20"/>
    <col min="3852" max="3853" width="11.625" style="20" bestFit="1" customWidth="1"/>
    <col min="3854" max="3855" width="10" style="20"/>
    <col min="3856" max="3856" width="33.875" style="20" bestFit="1" customWidth="1"/>
    <col min="3857" max="4086" width="10" style="20"/>
    <col min="4087" max="4087" width="5.625" style="20" customWidth="1"/>
    <col min="4088" max="4088" width="8.625" style="20" customWidth="1"/>
    <col min="4089" max="4089" width="21.75" style="20" customWidth="1"/>
    <col min="4090" max="4090" width="20.625" style="20" customWidth="1"/>
    <col min="4091" max="4091" width="26.625" style="20" customWidth="1"/>
    <col min="4092" max="4092" width="5.25" style="20" customWidth="1"/>
    <col min="4093" max="4093" width="1.875" style="20" customWidth="1"/>
    <col min="4094" max="4094" width="32.625" style="20" customWidth="1"/>
    <col min="4095" max="4095" width="2.25" style="20" customWidth="1"/>
    <col min="4096" max="4096" width="19.875" style="20" bestFit="1" customWidth="1"/>
    <col min="4097" max="4097" width="18.125" style="20" customWidth="1"/>
    <col min="4098" max="4098" width="7.625" style="20" customWidth="1"/>
    <col min="4099" max="4100" width="0" style="20" hidden="1" customWidth="1"/>
    <col min="4101" max="4101" width="15" style="20" customWidth="1"/>
    <col min="4102" max="4102" width="16.25" style="20" customWidth="1"/>
    <col min="4103" max="4103" width="16.5" style="20" customWidth="1"/>
    <col min="4104" max="4104" width="16.125" style="20" bestFit="1" customWidth="1"/>
    <col min="4105" max="4105" width="15" style="20" bestFit="1" customWidth="1"/>
    <col min="4106" max="4107" width="10" style="20"/>
    <col min="4108" max="4109" width="11.625" style="20" bestFit="1" customWidth="1"/>
    <col min="4110" max="4111" width="10" style="20"/>
    <col min="4112" max="4112" width="33.875" style="20" bestFit="1" customWidth="1"/>
    <col min="4113" max="4342" width="10" style="20"/>
    <col min="4343" max="4343" width="5.625" style="20" customWidth="1"/>
    <col min="4344" max="4344" width="8.625" style="20" customWidth="1"/>
    <col min="4345" max="4345" width="21.75" style="20" customWidth="1"/>
    <col min="4346" max="4346" width="20.625" style="20" customWidth="1"/>
    <col min="4347" max="4347" width="26.625" style="20" customWidth="1"/>
    <col min="4348" max="4348" width="5.25" style="20" customWidth="1"/>
    <col min="4349" max="4349" width="1.875" style="20" customWidth="1"/>
    <col min="4350" max="4350" width="32.625" style="20" customWidth="1"/>
    <col min="4351" max="4351" width="2.25" style="20" customWidth="1"/>
    <col min="4352" max="4352" width="19.875" style="20" bestFit="1" customWidth="1"/>
    <col min="4353" max="4353" width="18.125" style="20" customWidth="1"/>
    <col min="4354" max="4354" width="7.625" style="20" customWidth="1"/>
    <col min="4355" max="4356" width="0" style="20" hidden="1" customWidth="1"/>
    <col min="4357" max="4357" width="15" style="20" customWidth="1"/>
    <col min="4358" max="4358" width="16.25" style="20" customWidth="1"/>
    <col min="4359" max="4359" width="16.5" style="20" customWidth="1"/>
    <col min="4360" max="4360" width="16.125" style="20" bestFit="1" customWidth="1"/>
    <col min="4361" max="4361" width="15" style="20" bestFit="1" customWidth="1"/>
    <col min="4362" max="4363" width="10" style="20"/>
    <col min="4364" max="4365" width="11.625" style="20" bestFit="1" customWidth="1"/>
    <col min="4366" max="4367" width="10" style="20"/>
    <col min="4368" max="4368" width="33.875" style="20" bestFit="1" customWidth="1"/>
    <col min="4369" max="4598" width="10" style="20"/>
    <col min="4599" max="4599" width="5.625" style="20" customWidth="1"/>
    <col min="4600" max="4600" width="8.625" style="20" customWidth="1"/>
    <col min="4601" max="4601" width="21.75" style="20" customWidth="1"/>
    <col min="4602" max="4602" width="20.625" style="20" customWidth="1"/>
    <col min="4603" max="4603" width="26.625" style="20" customWidth="1"/>
    <col min="4604" max="4604" width="5.25" style="20" customWidth="1"/>
    <col min="4605" max="4605" width="1.875" style="20" customWidth="1"/>
    <col min="4606" max="4606" width="32.625" style="20" customWidth="1"/>
    <col min="4607" max="4607" width="2.25" style="20" customWidth="1"/>
    <col min="4608" max="4608" width="19.875" style="20" bestFit="1" customWidth="1"/>
    <col min="4609" max="4609" width="18.125" style="20" customWidth="1"/>
    <col min="4610" max="4610" width="7.625" style="20" customWidth="1"/>
    <col min="4611" max="4612" width="0" style="20" hidden="1" customWidth="1"/>
    <col min="4613" max="4613" width="15" style="20" customWidth="1"/>
    <col min="4614" max="4614" width="16.25" style="20" customWidth="1"/>
    <col min="4615" max="4615" width="16.5" style="20" customWidth="1"/>
    <col min="4616" max="4616" width="16.125" style="20" bestFit="1" customWidth="1"/>
    <col min="4617" max="4617" width="15" style="20" bestFit="1" customWidth="1"/>
    <col min="4618" max="4619" width="10" style="20"/>
    <col min="4620" max="4621" width="11.625" style="20" bestFit="1" customWidth="1"/>
    <col min="4622" max="4623" width="10" style="20"/>
    <col min="4624" max="4624" width="33.875" style="20" bestFit="1" customWidth="1"/>
    <col min="4625" max="4854" width="10" style="20"/>
    <col min="4855" max="4855" width="5.625" style="20" customWidth="1"/>
    <col min="4856" max="4856" width="8.625" style="20" customWidth="1"/>
    <col min="4857" max="4857" width="21.75" style="20" customWidth="1"/>
    <col min="4858" max="4858" width="20.625" style="20" customWidth="1"/>
    <col min="4859" max="4859" width="26.625" style="20" customWidth="1"/>
    <col min="4860" max="4860" width="5.25" style="20" customWidth="1"/>
    <col min="4861" max="4861" width="1.875" style="20" customWidth="1"/>
    <col min="4862" max="4862" width="32.625" style="20" customWidth="1"/>
    <col min="4863" max="4863" width="2.25" style="20" customWidth="1"/>
    <col min="4864" max="4864" width="19.875" style="20" bestFit="1" customWidth="1"/>
    <col min="4865" max="4865" width="18.125" style="20" customWidth="1"/>
    <col min="4866" max="4866" width="7.625" style="20" customWidth="1"/>
    <col min="4867" max="4868" width="0" style="20" hidden="1" customWidth="1"/>
    <col min="4869" max="4869" width="15" style="20" customWidth="1"/>
    <col min="4870" max="4870" width="16.25" style="20" customWidth="1"/>
    <col min="4871" max="4871" width="16.5" style="20" customWidth="1"/>
    <col min="4872" max="4872" width="16.125" style="20" bestFit="1" customWidth="1"/>
    <col min="4873" max="4873" width="15" style="20" bestFit="1" customWidth="1"/>
    <col min="4874" max="4875" width="10" style="20"/>
    <col min="4876" max="4877" width="11.625" style="20" bestFit="1" customWidth="1"/>
    <col min="4878" max="4879" width="10" style="20"/>
    <col min="4880" max="4880" width="33.875" style="20" bestFit="1" customWidth="1"/>
    <col min="4881" max="5110" width="10" style="20"/>
    <col min="5111" max="5111" width="5.625" style="20" customWidth="1"/>
    <col min="5112" max="5112" width="8.625" style="20" customWidth="1"/>
    <col min="5113" max="5113" width="21.75" style="20" customWidth="1"/>
    <col min="5114" max="5114" width="20.625" style="20" customWidth="1"/>
    <col min="5115" max="5115" width="26.625" style="20" customWidth="1"/>
    <col min="5116" max="5116" width="5.25" style="20" customWidth="1"/>
    <col min="5117" max="5117" width="1.875" style="20" customWidth="1"/>
    <col min="5118" max="5118" width="32.625" style="20" customWidth="1"/>
    <col min="5119" max="5119" width="2.25" style="20" customWidth="1"/>
    <col min="5120" max="5120" width="19.875" style="20" bestFit="1" customWidth="1"/>
    <col min="5121" max="5121" width="18.125" style="20" customWidth="1"/>
    <col min="5122" max="5122" width="7.625" style="20" customWidth="1"/>
    <col min="5123" max="5124" width="0" style="20" hidden="1" customWidth="1"/>
    <col min="5125" max="5125" width="15" style="20" customWidth="1"/>
    <col min="5126" max="5126" width="16.25" style="20" customWidth="1"/>
    <col min="5127" max="5127" width="16.5" style="20" customWidth="1"/>
    <col min="5128" max="5128" width="16.125" style="20" bestFit="1" customWidth="1"/>
    <col min="5129" max="5129" width="15" style="20" bestFit="1" customWidth="1"/>
    <col min="5130" max="5131" width="10" style="20"/>
    <col min="5132" max="5133" width="11.625" style="20" bestFit="1" customWidth="1"/>
    <col min="5134" max="5135" width="10" style="20"/>
    <col min="5136" max="5136" width="33.875" style="20" bestFit="1" customWidth="1"/>
    <col min="5137" max="5366" width="10" style="20"/>
    <col min="5367" max="5367" width="5.625" style="20" customWidth="1"/>
    <col min="5368" max="5368" width="8.625" style="20" customWidth="1"/>
    <col min="5369" max="5369" width="21.75" style="20" customWidth="1"/>
    <col min="5370" max="5370" width="20.625" style="20" customWidth="1"/>
    <col min="5371" max="5371" width="26.625" style="20" customWidth="1"/>
    <col min="5372" max="5372" width="5.25" style="20" customWidth="1"/>
    <col min="5373" max="5373" width="1.875" style="20" customWidth="1"/>
    <col min="5374" max="5374" width="32.625" style="20" customWidth="1"/>
    <col min="5375" max="5375" width="2.25" style="20" customWidth="1"/>
    <col min="5376" max="5376" width="19.875" style="20" bestFit="1" customWidth="1"/>
    <col min="5377" max="5377" width="18.125" style="20" customWidth="1"/>
    <col min="5378" max="5378" width="7.625" style="20" customWidth="1"/>
    <col min="5379" max="5380" width="0" style="20" hidden="1" customWidth="1"/>
    <col min="5381" max="5381" width="15" style="20" customWidth="1"/>
    <col min="5382" max="5382" width="16.25" style="20" customWidth="1"/>
    <col min="5383" max="5383" width="16.5" style="20" customWidth="1"/>
    <col min="5384" max="5384" width="16.125" style="20" bestFit="1" customWidth="1"/>
    <col min="5385" max="5385" width="15" style="20" bestFit="1" customWidth="1"/>
    <col min="5386" max="5387" width="10" style="20"/>
    <col min="5388" max="5389" width="11.625" style="20" bestFit="1" customWidth="1"/>
    <col min="5390" max="5391" width="10" style="20"/>
    <col min="5392" max="5392" width="33.875" style="20" bestFit="1" customWidth="1"/>
    <col min="5393" max="5622" width="10" style="20"/>
    <col min="5623" max="5623" width="5.625" style="20" customWidth="1"/>
    <col min="5624" max="5624" width="8.625" style="20" customWidth="1"/>
    <col min="5625" max="5625" width="21.75" style="20" customWidth="1"/>
    <col min="5626" max="5626" width="20.625" style="20" customWidth="1"/>
    <col min="5627" max="5627" width="26.625" style="20" customWidth="1"/>
    <col min="5628" max="5628" width="5.25" style="20" customWidth="1"/>
    <col min="5629" max="5629" width="1.875" style="20" customWidth="1"/>
    <col min="5630" max="5630" width="32.625" style="20" customWidth="1"/>
    <col min="5631" max="5631" width="2.25" style="20" customWidth="1"/>
    <col min="5632" max="5632" width="19.875" style="20" bestFit="1" customWidth="1"/>
    <col min="5633" max="5633" width="18.125" style="20" customWidth="1"/>
    <col min="5634" max="5634" width="7.625" style="20" customWidth="1"/>
    <col min="5635" max="5636" width="0" style="20" hidden="1" customWidth="1"/>
    <col min="5637" max="5637" width="15" style="20" customWidth="1"/>
    <col min="5638" max="5638" width="16.25" style="20" customWidth="1"/>
    <col min="5639" max="5639" width="16.5" style="20" customWidth="1"/>
    <col min="5640" max="5640" width="16.125" style="20" bestFit="1" customWidth="1"/>
    <col min="5641" max="5641" width="15" style="20" bestFit="1" customWidth="1"/>
    <col min="5642" max="5643" width="10" style="20"/>
    <col min="5644" max="5645" width="11.625" style="20" bestFit="1" customWidth="1"/>
    <col min="5646" max="5647" width="10" style="20"/>
    <col min="5648" max="5648" width="33.875" style="20" bestFit="1" customWidth="1"/>
    <col min="5649" max="5878" width="10" style="20"/>
    <col min="5879" max="5879" width="5.625" style="20" customWidth="1"/>
    <col min="5880" max="5880" width="8.625" style="20" customWidth="1"/>
    <col min="5881" max="5881" width="21.75" style="20" customWidth="1"/>
    <col min="5882" max="5882" width="20.625" style="20" customWidth="1"/>
    <col min="5883" max="5883" width="26.625" style="20" customWidth="1"/>
    <col min="5884" max="5884" width="5.25" style="20" customWidth="1"/>
    <col min="5885" max="5885" width="1.875" style="20" customWidth="1"/>
    <col min="5886" max="5886" width="32.625" style="20" customWidth="1"/>
    <col min="5887" max="5887" width="2.25" style="20" customWidth="1"/>
    <col min="5888" max="5888" width="19.875" style="20" bestFit="1" customWidth="1"/>
    <col min="5889" max="5889" width="18.125" style="20" customWidth="1"/>
    <col min="5890" max="5890" width="7.625" style="20" customWidth="1"/>
    <col min="5891" max="5892" width="0" style="20" hidden="1" customWidth="1"/>
    <col min="5893" max="5893" width="15" style="20" customWidth="1"/>
    <col min="5894" max="5894" width="16.25" style="20" customWidth="1"/>
    <col min="5895" max="5895" width="16.5" style="20" customWidth="1"/>
    <col min="5896" max="5896" width="16.125" style="20" bestFit="1" customWidth="1"/>
    <col min="5897" max="5897" width="15" style="20" bestFit="1" customWidth="1"/>
    <col min="5898" max="5899" width="10" style="20"/>
    <col min="5900" max="5901" width="11.625" style="20" bestFit="1" customWidth="1"/>
    <col min="5902" max="5903" width="10" style="20"/>
    <col min="5904" max="5904" width="33.875" style="20" bestFit="1" customWidth="1"/>
    <col min="5905" max="6134" width="10" style="20"/>
    <col min="6135" max="6135" width="5.625" style="20" customWidth="1"/>
    <col min="6136" max="6136" width="8.625" style="20" customWidth="1"/>
    <col min="6137" max="6137" width="21.75" style="20" customWidth="1"/>
    <col min="6138" max="6138" width="20.625" style="20" customWidth="1"/>
    <col min="6139" max="6139" width="26.625" style="20" customWidth="1"/>
    <col min="6140" max="6140" width="5.25" style="20" customWidth="1"/>
    <col min="6141" max="6141" width="1.875" style="20" customWidth="1"/>
    <col min="6142" max="6142" width="32.625" style="20" customWidth="1"/>
    <col min="6143" max="6143" width="2.25" style="20" customWidth="1"/>
    <col min="6144" max="6144" width="19.875" style="20" bestFit="1" customWidth="1"/>
    <col min="6145" max="6145" width="18.125" style="20" customWidth="1"/>
    <col min="6146" max="6146" width="7.625" style="20" customWidth="1"/>
    <col min="6147" max="6148" width="0" style="20" hidden="1" customWidth="1"/>
    <col min="6149" max="6149" width="15" style="20" customWidth="1"/>
    <col min="6150" max="6150" width="16.25" style="20" customWidth="1"/>
    <col min="6151" max="6151" width="16.5" style="20" customWidth="1"/>
    <col min="6152" max="6152" width="16.125" style="20" bestFit="1" customWidth="1"/>
    <col min="6153" max="6153" width="15" style="20" bestFit="1" customWidth="1"/>
    <col min="6154" max="6155" width="10" style="20"/>
    <col min="6156" max="6157" width="11.625" style="20" bestFit="1" customWidth="1"/>
    <col min="6158" max="6159" width="10" style="20"/>
    <col min="6160" max="6160" width="33.875" style="20" bestFit="1" customWidth="1"/>
    <col min="6161" max="6390" width="10" style="20"/>
    <col min="6391" max="6391" width="5.625" style="20" customWidth="1"/>
    <col min="6392" max="6392" width="8.625" style="20" customWidth="1"/>
    <col min="6393" max="6393" width="21.75" style="20" customWidth="1"/>
    <col min="6394" max="6394" width="20.625" style="20" customWidth="1"/>
    <col min="6395" max="6395" width="26.625" style="20" customWidth="1"/>
    <col min="6396" max="6396" width="5.25" style="20" customWidth="1"/>
    <col min="6397" max="6397" width="1.875" style="20" customWidth="1"/>
    <col min="6398" max="6398" width="32.625" style="20" customWidth="1"/>
    <col min="6399" max="6399" width="2.25" style="20" customWidth="1"/>
    <col min="6400" max="6400" width="19.875" style="20" bestFit="1" customWidth="1"/>
    <col min="6401" max="6401" width="18.125" style="20" customWidth="1"/>
    <col min="6402" max="6402" width="7.625" style="20" customWidth="1"/>
    <col min="6403" max="6404" width="0" style="20" hidden="1" customWidth="1"/>
    <col min="6405" max="6405" width="15" style="20" customWidth="1"/>
    <col min="6406" max="6406" width="16.25" style="20" customWidth="1"/>
    <col min="6407" max="6407" width="16.5" style="20" customWidth="1"/>
    <col min="6408" max="6408" width="16.125" style="20" bestFit="1" customWidth="1"/>
    <col min="6409" max="6409" width="15" style="20" bestFit="1" customWidth="1"/>
    <col min="6410" max="6411" width="10" style="20"/>
    <col min="6412" max="6413" width="11.625" style="20" bestFit="1" customWidth="1"/>
    <col min="6414" max="6415" width="10" style="20"/>
    <col min="6416" max="6416" width="33.875" style="20" bestFit="1" customWidth="1"/>
    <col min="6417" max="6646" width="10" style="20"/>
    <col min="6647" max="6647" width="5.625" style="20" customWidth="1"/>
    <col min="6648" max="6648" width="8.625" style="20" customWidth="1"/>
    <col min="6649" max="6649" width="21.75" style="20" customWidth="1"/>
    <col min="6650" max="6650" width="20.625" style="20" customWidth="1"/>
    <col min="6651" max="6651" width="26.625" style="20" customWidth="1"/>
    <col min="6652" max="6652" width="5.25" style="20" customWidth="1"/>
    <col min="6653" max="6653" width="1.875" style="20" customWidth="1"/>
    <col min="6654" max="6654" width="32.625" style="20" customWidth="1"/>
    <col min="6655" max="6655" width="2.25" style="20" customWidth="1"/>
    <col min="6656" max="6656" width="19.875" style="20" bestFit="1" customWidth="1"/>
    <col min="6657" max="6657" width="18.125" style="20" customWidth="1"/>
    <col min="6658" max="6658" width="7.625" style="20" customWidth="1"/>
    <col min="6659" max="6660" width="0" style="20" hidden="1" customWidth="1"/>
    <col min="6661" max="6661" width="15" style="20" customWidth="1"/>
    <col min="6662" max="6662" width="16.25" style="20" customWidth="1"/>
    <col min="6663" max="6663" width="16.5" style="20" customWidth="1"/>
    <col min="6664" max="6664" width="16.125" style="20" bestFit="1" customWidth="1"/>
    <col min="6665" max="6665" width="15" style="20" bestFit="1" customWidth="1"/>
    <col min="6666" max="6667" width="10" style="20"/>
    <col min="6668" max="6669" width="11.625" style="20" bestFit="1" customWidth="1"/>
    <col min="6670" max="6671" width="10" style="20"/>
    <col min="6672" max="6672" width="33.875" style="20" bestFit="1" customWidth="1"/>
    <col min="6673" max="6902" width="10" style="20"/>
    <col min="6903" max="6903" width="5.625" style="20" customWidth="1"/>
    <col min="6904" max="6904" width="8.625" style="20" customWidth="1"/>
    <col min="6905" max="6905" width="21.75" style="20" customWidth="1"/>
    <col min="6906" max="6906" width="20.625" style="20" customWidth="1"/>
    <col min="6907" max="6907" width="26.625" style="20" customWidth="1"/>
    <col min="6908" max="6908" width="5.25" style="20" customWidth="1"/>
    <col min="6909" max="6909" width="1.875" style="20" customWidth="1"/>
    <col min="6910" max="6910" width="32.625" style="20" customWidth="1"/>
    <col min="6911" max="6911" width="2.25" style="20" customWidth="1"/>
    <col min="6912" max="6912" width="19.875" style="20" bestFit="1" customWidth="1"/>
    <col min="6913" max="6913" width="18.125" style="20" customWidth="1"/>
    <col min="6914" max="6914" width="7.625" style="20" customWidth="1"/>
    <col min="6915" max="6916" width="0" style="20" hidden="1" customWidth="1"/>
    <col min="6917" max="6917" width="15" style="20" customWidth="1"/>
    <col min="6918" max="6918" width="16.25" style="20" customWidth="1"/>
    <col min="6919" max="6919" width="16.5" style="20" customWidth="1"/>
    <col min="6920" max="6920" width="16.125" style="20" bestFit="1" customWidth="1"/>
    <col min="6921" max="6921" width="15" style="20" bestFit="1" customWidth="1"/>
    <col min="6922" max="6923" width="10" style="20"/>
    <col min="6924" max="6925" width="11.625" style="20" bestFit="1" customWidth="1"/>
    <col min="6926" max="6927" width="10" style="20"/>
    <col min="6928" max="6928" width="33.875" style="20" bestFit="1" customWidth="1"/>
    <col min="6929" max="7158" width="10" style="20"/>
    <col min="7159" max="7159" width="5.625" style="20" customWidth="1"/>
    <col min="7160" max="7160" width="8.625" style="20" customWidth="1"/>
    <col min="7161" max="7161" width="21.75" style="20" customWidth="1"/>
    <col min="7162" max="7162" width="20.625" style="20" customWidth="1"/>
    <col min="7163" max="7163" width="26.625" style="20" customWidth="1"/>
    <col min="7164" max="7164" width="5.25" style="20" customWidth="1"/>
    <col min="7165" max="7165" width="1.875" style="20" customWidth="1"/>
    <col min="7166" max="7166" width="32.625" style="20" customWidth="1"/>
    <col min="7167" max="7167" width="2.25" style="20" customWidth="1"/>
    <col min="7168" max="7168" width="19.875" style="20" bestFit="1" customWidth="1"/>
    <col min="7169" max="7169" width="18.125" style="20" customWidth="1"/>
    <col min="7170" max="7170" width="7.625" style="20" customWidth="1"/>
    <col min="7171" max="7172" width="0" style="20" hidden="1" customWidth="1"/>
    <col min="7173" max="7173" width="15" style="20" customWidth="1"/>
    <col min="7174" max="7174" width="16.25" style="20" customWidth="1"/>
    <col min="7175" max="7175" width="16.5" style="20" customWidth="1"/>
    <col min="7176" max="7176" width="16.125" style="20" bestFit="1" customWidth="1"/>
    <col min="7177" max="7177" width="15" style="20" bestFit="1" customWidth="1"/>
    <col min="7178" max="7179" width="10" style="20"/>
    <col min="7180" max="7181" width="11.625" style="20" bestFit="1" customWidth="1"/>
    <col min="7182" max="7183" width="10" style="20"/>
    <col min="7184" max="7184" width="33.875" style="20" bestFit="1" customWidth="1"/>
    <col min="7185" max="7414" width="10" style="20"/>
    <col min="7415" max="7415" width="5.625" style="20" customWidth="1"/>
    <col min="7416" max="7416" width="8.625" style="20" customWidth="1"/>
    <col min="7417" max="7417" width="21.75" style="20" customWidth="1"/>
    <col min="7418" max="7418" width="20.625" style="20" customWidth="1"/>
    <col min="7419" max="7419" width="26.625" style="20" customWidth="1"/>
    <col min="7420" max="7420" width="5.25" style="20" customWidth="1"/>
    <col min="7421" max="7421" width="1.875" style="20" customWidth="1"/>
    <col min="7422" max="7422" width="32.625" style="20" customWidth="1"/>
    <col min="7423" max="7423" width="2.25" style="20" customWidth="1"/>
    <col min="7424" max="7424" width="19.875" style="20" bestFit="1" customWidth="1"/>
    <col min="7425" max="7425" width="18.125" style="20" customWidth="1"/>
    <col min="7426" max="7426" width="7.625" style="20" customWidth="1"/>
    <col min="7427" max="7428" width="0" style="20" hidden="1" customWidth="1"/>
    <col min="7429" max="7429" width="15" style="20" customWidth="1"/>
    <col min="7430" max="7430" width="16.25" style="20" customWidth="1"/>
    <col min="7431" max="7431" width="16.5" style="20" customWidth="1"/>
    <col min="7432" max="7432" width="16.125" style="20" bestFit="1" customWidth="1"/>
    <col min="7433" max="7433" width="15" style="20" bestFit="1" customWidth="1"/>
    <col min="7434" max="7435" width="10" style="20"/>
    <col min="7436" max="7437" width="11.625" style="20" bestFit="1" customWidth="1"/>
    <col min="7438" max="7439" width="10" style="20"/>
    <col min="7440" max="7440" width="33.875" style="20" bestFit="1" customWidth="1"/>
    <col min="7441" max="7670" width="10" style="20"/>
    <col min="7671" max="7671" width="5.625" style="20" customWidth="1"/>
    <col min="7672" max="7672" width="8.625" style="20" customWidth="1"/>
    <col min="7673" max="7673" width="21.75" style="20" customWidth="1"/>
    <col min="7674" max="7674" width="20.625" style="20" customWidth="1"/>
    <col min="7675" max="7675" width="26.625" style="20" customWidth="1"/>
    <col min="7676" max="7676" width="5.25" style="20" customWidth="1"/>
    <col min="7677" max="7677" width="1.875" style="20" customWidth="1"/>
    <col min="7678" max="7678" width="32.625" style="20" customWidth="1"/>
    <col min="7679" max="7679" width="2.25" style="20" customWidth="1"/>
    <col min="7680" max="7680" width="19.875" style="20" bestFit="1" customWidth="1"/>
    <col min="7681" max="7681" width="18.125" style="20" customWidth="1"/>
    <col min="7682" max="7682" width="7.625" style="20" customWidth="1"/>
    <col min="7683" max="7684" width="0" style="20" hidden="1" customWidth="1"/>
    <col min="7685" max="7685" width="15" style="20" customWidth="1"/>
    <col min="7686" max="7686" width="16.25" style="20" customWidth="1"/>
    <col min="7687" max="7687" width="16.5" style="20" customWidth="1"/>
    <col min="7688" max="7688" width="16.125" style="20" bestFit="1" customWidth="1"/>
    <col min="7689" max="7689" width="15" style="20" bestFit="1" customWidth="1"/>
    <col min="7690" max="7691" width="10" style="20"/>
    <col min="7692" max="7693" width="11.625" style="20" bestFit="1" customWidth="1"/>
    <col min="7694" max="7695" width="10" style="20"/>
    <col min="7696" max="7696" width="33.875" style="20" bestFit="1" customWidth="1"/>
    <col min="7697" max="7926" width="10" style="20"/>
    <col min="7927" max="7927" width="5.625" style="20" customWidth="1"/>
    <col min="7928" max="7928" width="8.625" style="20" customWidth="1"/>
    <col min="7929" max="7929" width="21.75" style="20" customWidth="1"/>
    <col min="7930" max="7930" width="20.625" style="20" customWidth="1"/>
    <col min="7931" max="7931" width="26.625" style="20" customWidth="1"/>
    <col min="7932" max="7932" width="5.25" style="20" customWidth="1"/>
    <col min="7933" max="7933" width="1.875" style="20" customWidth="1"/>
    <col min="7934" max="7934" width="32.625" style="20" customWidth="1"/>
    <col min="7935" max="7935" width="2.25" style="20" customWidth="1"/>
    <col min="7936" max="7936" width="19.875" style="20" bestFit="1" customWidth="1"/>
    <col min="7937" max="7937" width="18.125" style="20" customWidth="1"/>
    <col min="7938" max="7938" width="7.625" style="20" customWidth="1"/>
    <col min="7939" max="7940" width="0" style="20" hidden="1" customWidth="1"/>
    <col min="7941" max="7941" width="15" style="20" customWidth="1"/>
    <col min="7942" max="7942" width="16.25" style="20" customWidth="1"/>
    <col min="7943" max="7943" width="16.5" style="20" customWidth="1"/>
    <col min="7944" max="7944" width="16.125" style="20" bestFit="1" customWidth="1"/>
    <col min="7945" max="7945" width="15" style="20" bestFit="1" customWidth="1"/>
    <col min="7946" max="7947" width="10" style="20"/>
    <col min="7948" max="7949" width="11.625" style="20" bestFit="1" customWidth="1"/>
    <col min="7950" max="7951" width="10" style="20"/>
    <col min="7952" max="7952" width="33.875" style="20" bestFit="1" customWidth="1"/>
    <col min="7953" max="8182" width="10" style="20"/>
    <col min="8183" max="8183" width="5.625" style="20" customWidth="1"/>
    <col min="8184" max="8184" width="8.625" style="20" customWidth="1"/>
    <col min="8185" max="8185" width="21.75" style="20" customWidth="1"/>
    <col min="8186" max="8186" width="20.625" style="20" customWidth="1"/>
    <col min="8187" max="8187" width="26.625" style="20" customWidth="1"/>
    <col min="8188" max="8188" width="5.25" style="20" customWidth="1"/>
    <col min="8189" max="8189" width="1.875" style="20" customWidth="1"/>
    <col min="8190" max="8190" width="32.625" style="20" customWidth="1"/>
    <col min="8191" max="8191" width="2.25" style="20" customWidth="1"/>
    <col min="8192" max="8192" width="19.875" style="20" bestFit="1" customWidth="1"/>
    <col min="8193" max="8193" width="18.125" style="20" customWidth="1"/>
    <col min="8194" max="8194" width="7.625" style="20" customWidth="1"/>
    <col min="8195" max="8196" width="0" style="20" hidden="1" customWidth="1"/>
    <col min="8197" max="8197" width="15" style="20" customWidth="1"/>
    <col min="8198" max="8198" width="16.25" style="20" customWidth="1"/>
    <col min="8199" max="8199" width="16.5" style="20" customWidth="1"/>
    <col min="8200" max="8200" width="16.125" style="20" bestFit="1" customWidth="1"/>
    <col min="8201" max="8201" width="15" style="20" bestFit="1" customWidth="1"/>
    <col min="8202" max="8203" width="10" style="20"/>
    <col min="8204" max="8205" width="11.625" style="20" bestFit="1" customWidth="1"/>
    <col min="8206" max="8207" width="10" style="20"/>
    <col min="8208" max="8208" width="33.875" style="20" bestFit="1" customWidth="1"/>
    <col min="8209" max="8438" width="10" style="20"/>
    <col min="8439" max="8439" width="5.625" style="20" customWidth="1"/>
    <col min="8440" max="8440" width="8.625" style="20" customWidth="1"/>
    <col min="8441" max="8441" width="21.75" style="20" customWidth="1"/>
    <col min="8442" max="8442" width="20.625" style="20" customWidth="1"/>
    <col min="8443" max="8443" width="26.625" style="20" customWidth="1"/>
    <col min="8444" max="8444" width="5.25" style="20" customWidth="1"/>
    <col min="8445" max="8445" width="1.875" style="20" customWidth="1"/>
    <col min="8446" max="8446" width="32.625" style="20" customWidth="1"/>
    <col min="8447" max="8447" width="2.25" style="20" customWidth="1"/>
    <col min="8448" max="8448" width="19.875" style="20" bestFit="1" customWidth="1"/>
    <col min="8449" max="8449" width="18.125" style="20" customWidth="1"/>
    <col min="8450" max="8450" width="7.625" style="20" customWidth="1"/>
    <col min="8451" max="8452" width="0" style="20" hidden="1" customWidth="1"/>
    <col min="8453" max="8453" width="15" style="20" customWidth="1"/>
    <col min="8454" max="8454" width="16.25" style="20" customWidth="1"/>
    <col min="8455" max="8455" width="16.5" style="20" customWidth="1"/>
    <col min="8456" max="8456" width="16.125" style="20" bestFit="1" customWidth="1"/>
    <col min="8457" max="8457" width="15" style="20" bestFit="1" customWidth="1"/>
    <col min="8458" max="8459" width="10" style="20"/>
    <col min="8460" max="8461" width="11.625" style="20" bestFit="1" customWidth="1"/>
    <col min="8462" max="8463" width="10" style="20"/>
    <col min="8464" max="8464" width="33.875" style="20" bestFit="1" customWidth="1"/>
    <col min="8465" max="8694" width="10" style="20"/>
    <col min="8695" max="8695" width="5.625" style="20" customWidth="1"/>
    <col min="8696" max="8696" width="8.625" style="20" customWidth="1"/>
    <col min="8697" max="8697" width="21.75" style="20" customWidth="1"/>
    <col min="8698" max="8698" width="20.625" style="20" customWidth="1"/>
    <col min="8699" max="8699" width="26.625" style="20" customWidth="1"/>
    <col min="8700" max="8700" width="5.25" style="20" customWidth="1"/>
    <col min="8701" max="8701" width="1.875" style="20" customWidth="1"/>
    <col min="8702" max="8702" width="32.625" style="20" customWidth="1"/>
    <col min="8703" max="8703" width="2.25" style="20" customWidth="1"/>
    <col min="8704" max="8704" width="19.875" style="20" bestFit="1" customWidth="1"/>
    <col min="8705" max="8705" width="18.125" style="20" customWidth="1"/>
    <col min="8706" max="8706" width="7.625" style="20" customWidth="1"/>
    <col min="8707" max="8708" width="0" style="20" hidden="1" customWidth="1"/>
    <col min="8709" max="8709" width="15" style="20" customWidth="1"/>
    <col min="8710" max="8710" width="16.25" style="20" customWidth="1"/>
    <col min="8711" max="8711" width="16.5" style="20" customWidth="1"/>
    <col min="8712" max="8712" width="16.125" style="20" bestFit="1" customWidth="1"/>
    <col min="8713" max="8713" width="15" style="20" bestFit="1" customWidth="1"/>
    <col min="8714" max="8715" width="10" style="20"/>
    <col min="8716" max="8717" width="11.625" style="20" bestFit="1" customWidth="1"/>
    <col min="8718" max="8719" width="10" style="20"/>
    <col min="8720" max="8720" width="33.875" style="20" bestFit="1" customWidth="1"/>
    <col min="8721" max="8950" width="10" style="20"/>
    <col min="8951" max="8951" width="5.625" style="20" customWidth="1"/>
    <col min="8952" max="8952" width="8.625" style="20" customWidth="1"/>
    <col min="8953" max="8953" width="21.75" style="20" customWidth="1"/>
    <col min="8954" max="8954" width="20.625" style="20" customWidth="1"/>
    <col min="8955" max="8955" width="26.625" style="20" customWidth="1"/>
    <col min="8956" max="8956" width="5.25" style="20" customWidth="1"/>
    <col min="8957" max="8957" width="1.875" style="20" customWidth="1"/>
    <col min="8958" max="8958" width="32.625" style="20" customWidth="1"/>
    <col min="8959" max="8959" width="2.25" style="20" customWidth="1"/>
    <col min="8960" max="8960" width="19.875" style="20" bestFit="1" customWidth="1"/>
    <col min="8961" max="8961" width="18.125" style="20" customWidth="1"/>
    <col min="8962" max="8962" width="7.625" style="20" customWidth="1"/>
    <col min="8963" max="8964" width="0" style="20" hidden="1" customWidth="1"/>
    <col min="8965" max="8965" width="15" style="20" customWidth="1"/>
    <col min="8966" max="8966" width="16.25" style="20" customWidth="1"/>
    <col min="8967" max="8967" width="16.5" style="20" customWidth="1"/>
    <col min="8968" max="8968" width="16.125" style="20" bestFit="1" customWidth="1"/>
    <col min="8969" max="8969" width="15" style="20" bestFit="1" customWidth="1"/>
    <col min="8970" max="8971" width="10" style="20"/>
    <col min="8972" max="8973" width="11.625" style="20" bestFit="1" customWidth="1"/>
    <col min="8974" max="8975" width="10" style="20"/>
    <col min="8976" max="8976" width="33.875" style="20" bestFit="1" customWidth="1"/>
    <col min="8977" max="9206" width="10" style="20"/>
    <col min="9207" max="9207" width="5.625" style="20" customWidth="1"/>
    <col min="9208" max="9208" width="8.625" style="20" customWidth="1"/>
    <col min="9209" max="9209" width="21.75" style="20" customWidth="1"/>
    <col min="9210" max="9210" width="20.625" style="20" customWidth="1"/>
    <col min="9211" max="9211" width="26.625" style="20" customWidth="1"/>
    <col min="9212" max="9212" width="5.25" style="20" customWidth="1"/>
    <col min="9213" max="9213" width="1.875" style="20" customWidth="1"/>
    <col min="9214" max="9214" width="32.625" style="20" customWidth="1"/>
    <col min="9215" max="9215" width="2.25" style="20" customWidth="1"/>
    <col min="9216" max="9216" width="19.875" style="20" bestFit="1" customWidth="1"/>
    <col min="9217" max="9217" width="18.125" style="20" customWidth="1"/>
    <col min="9218" max="9218" width="7.625" style="20" customWidth="1"/>
    <col min="9219" max="9220" width="0" style="20" hidden="1" customWidth="1"/>
    <col min="9221" max="9221" width="15" style="20" customWidth="1"/>
    <col min="9222" max="9222" width="16.25" style="20" customWidth="1"/>
    <col min="9223" max="9223" width="16.5" style="20" customWidth="1"/>
    <col min="9224" max="9224" width="16.125" style="20" bestFit="1" customWidth="1"/>
    <col min="9225" max="9225" width="15" style="20" bestFit="1" customWidth="1"/>
    <col min="9226" max="9227" width="10" style="20"/>
    <col min="9228" max="9229" width="11.625" style="20" bestFit="1" customWidth="1"/>
    <col min="9230" max="9231" width="10" style="20"/>
    <col min="9232" max="9232" width="33.875" style="20" bestFit="1" customWidth="1"/>
    <col min="9233" max="9462" width="10" style="20"/>
    <col min="9463" max="9463" width="5.625" style="20" customWidth="1"/>
    <col min="9464" max="9464" width="8.625" style="20" customWidth="1"/>
    <col min="9465" max="9465" width="21.75" style="20" customWidth="1"/>
    <col min="9466" max="9466" width="20.625" style="20" customWidth="1"/>
    <col min="9467" max="9467" width="26.625" style="20" customWidth="1"/>
    <col min="9468" max="9468" width="5.25" style="20" customWidth="1"/>
    <col min="9469" max="9469" width="1.875" style="20" customWidth="1"/>
    <col min="9470" max="9470" width="32.625" style="20" customWidth="1"/>
    <col min="9471" max="9471" width="2.25" style="20" customWidth="1"/>
    <col min="9472" max="9472" width="19.875" style="20" bestFit="1" customWidth="1"/>
    <col min="9473" max="9473" width="18.125" style="20" customWidth="1"/>
    <col min="9474" max="9474" width="7.625" style="20" customWidth="1"/>
    <col min="9475" max="9476" width="0" style="20" hidden="1" customWidth="1"/>
    <col min="9477" max="9477" width="15" style="20" customWidth="1"/>
    <col min="9478" max="9478" width="16.25" style="20" customWidth="1"/>
    <col min="9479" max="9479" width="16.5" style="20" customWidth="1"/>
    <col min="9480" max="9480" width="16.125" style="20" bestFit="1" customWidth="1"/>
    <col min="9481" max="9481" width="15" style="20" bestFit="1" customWidth="1"/>
    <col min="9482" max="9483" width="10" style="20"/>
    <col min="9484" max="9485" width="11.625" style="20" bestFit="1" customWidth="1"/>
    <col min="9486" max="9487" width="10" style="20"/>
    <col min="9488" max="9488" width="33.875" style="20" bestFit="1" customWidth="1"/>
    <col min="9489" max="9718" width="10" style="20"/>
    <col min="9719" max="9719" width="5.625" style="20" customWidth="1"/>
    <col min="9720" max="9720" width="8.625" style="20" customWidth="1"/>
    <col min="9721" max="9721" width="21.75" style="20" customWidth="1"/>
    <col min="9722" max="9722" width="20.625" style="20" customWidth="1"/>
    <col min="9723" max="9723" width="26.625" style="20" customWidth="1"/>
    <col min="9724" max="9724" width="5.25" style="20" customWidth="1"/>
    <col min="9725" max="9725" width="1.875" style="20" customWidth="1"/>
    <col min="9726" max="9726" width="32.625" style="20" customWidth="1"/>
    <col min="9727" max="9727" width="2.25" style="20" customWidth="1"/>
    <col min="9728" max="9728" width="19.875" style="20" bestFit="1" customWidth="1"/>
    <col min="9729" max="9729" width="18.125" style="20" customWidth="1"/>
    <col min="9730" max="9730" width="7.625" style="20" customWidth="1"/>
    <col min="9731" max="9732" width="0" style="20" hidden="1" customWidth="1"/>
    <col min="9733" max="9733" width="15" style="20" customWidth="1"/>
    <col min="9734" max="9734" width="16.25" style="20" customWidth="1"/>
    <col min="9735" max="9735" width="16.5" style="20" customWidth="1"/>
    <col min="9736" max="9736" width="16.125" style="20" bestFit="1" customWidth="1"/>
    <col min="9737" max="9737" width="15" style="20" bestFit="1" customWidth="1"/>
    <col min="9738" max="9739" width="10" style="20"/>
    <col min="9740" max="9741" width="11.625" style="20" bestFit="1" customWidth="1"/>
    <col min="9742" max="9743" width="10" style="20"/>
    <col min="9744" max="9744" width="33.875" style="20" bestFit="1" customWidth="1"/>
    <col min="9745" max="9974" width="10" style="20"/>
    <col min="9975" max="9975" width="5.625" style="20" customWidth="1"/>
    <col min="9976" max="9976" width="8.625" style="20" customWidth="1"/>
    <col min="9977" max="9977" width="21.75" style="20" customWidth="1"/>
    <col min="9978" max="9978" width="20.625" style="20" customWidth="1"/>
    <col min="9979" max="9979" width="26.625" style="20" customWidth="1"/>
    <col min="9980" max="9980" width="5.25" style="20" customWidth="1"/>
    <col min="9981" max="9981" width="1.875" style="20" customWidth="1"/>
    <col min="9982" max="9982" width="32.625" style="20" customWidth="1"/>
    <col min="9983" max="9983" width="2.25" style="20" customWidth="1"/>
    <col min="9984" max="9984" width="19.875" style="20" bestFit="1" customWidth="1"/>
    <col min="9985" max="9985" width="18.125" style="20" customWidth="1"/>
    <col min="9986" max="9986" width="7.625" style="20" customWidth="1"/>
    <col min="9987" max="9988" width="0" style="20" hidden="1" customWidth="1"/>
    <col min="9989" max="9989" width="15" style="20" customWidth="1"/>
    <col min="9990" max="9990" width="16.25" style="20" customWidth="1"/>
    <col min="9991" max="9991" width="16.5" style="20" customWidth="1"/>
    <col min="9992" max="9992" width="16.125" style="20" bestFit="1" customWidth="1"/>
    <col min="9993" max="9993" width="15" style="20" bestFit="1" customWidth="1"/>
    <col min="9994" max="9995" width="10" style="20"/>
    <col min="9996" max="9997" width="11.625" style="20" bestFit="1" customWidth="1"/>
    <col min="9998" max="9999" width="10" style="20"/>
    <col min="10000" max="10000" width="33.875" style="20" bestFit="1" customWidth="1"/>
    <col min="10001" max="10230" width="10" style="20"/>
    <col min="10231" max="10231" width="5.625" style="20" customWidth="1"/>
    <col min="10232" max="10232" width="8.625" style="20" customWidth="1"/>
    <col min="10233" max="10233" width="21.75" style="20" customWidth="1"/>
    <col min="10234" max="10234" width="20.625" style="20" customWidth="1"/>
    <col min="10235" max="10235" width="26.625" style="20" customWidth="1"/>
    <col min="10236" max="10236" width="5.25" style="20" customWidth="1"/>
    <col min="10237" max="10237" width="1.875" style="20" customWidth="1"/>
    <col min="10238" max="10238" width="32.625" style="20" customWidth="1"/>
    <col min="10239" max="10239" width="2.25" style="20" customWidth="1"/>
    <col min="10240" max="10240" width="19.875" style="20" bestFit="1" customWidth="1"/>
    <col min="10241" max="10241" width="18.125" style="20" customWidth="1"/>
    <col min="10242" max="10242" width="7.625" style="20" customWidth="1"/>
    <col min="10243" max="10244" width="0" style="20" hidden="1" customWidth="1"/>
    <col min="10245" max="10245" width="15" style="20" customWidth="1"/>
    <col min="10246" max="10246" width="16.25" style="20" customWidth="1"/>
    <col min="10247" max="10247" width="16.5" style="20" customWidth="1"/>
    <col min="10248" max="10248" width="16.125" style="20" bestFit="1" customWidth="1"/>
    <col min="10249" max="10249" width="15" style="20" bestFit="1" customWidth="1"/>
    <col min="10250" max="10251" width="10" style="20"/>
    <col min="10252" max="10253" width="11.625" style="20" bestFit="1" customWidth="1"/>
    <col min="10254" max="10255" width="10" style="20"/>
    <col min="10256" max="10256" width="33.875" style="20" bestFit="1" customWidth="1"/>
    <col min="10257" max="10486" width="10" style="20"/>
    <col min="10487" max="10487" width="5.625" style="20" customWidth="1"/>
    <col min="10488" max="10488" width="8.625" style="20" customWidth="1"/>
    <col min="10489" max="10489" width="21.75" style="20" customWidth="1"/>
    <col min="10490" max="10490" width="20.625" style="20" customWidth="1"/>
    <col min="10491" max="10491" width="26.625" style="20" customWidth="1"/>
    <col min="10492" max="10492" width="5.25" style="20" customWidth="1"/>
    <col min="10493" max="10493" width="1.875" style="20" customWidth="1"/>
    <col min="10494" max="10494" width="32.625" style="20" customWidth="1"/>
    <col min="10495" max="10495" width="2.25" style="20" customWidth="1"/>
    <col min="10496" max="10496" width="19.875" style="20" bestFit="1" customWidth="1"/>
    <col min="10497" max="10497" width="18.125" style="20" customWidth="1"/>
    <col min="10498" max="10498" width="7.625" style="20" customWidth="1"/>
    <col min="10499" max="10500" width="0" style="20" hidden="1" customWidth="1"/>
    <col min="10501" max="10501" width="15" style="20" customWidth="1"/>
    <col min="10502" max="10502" width="16.25" style="20" customWidth="1"/>
    <col min="10503" max="10503" width="16.5" style="20" customWidth="1"/>
    <col min="10504" max="10504" width="16.125" style="20" bestFit="1" customWidth="1"/>
    <col min="10505" max="10505" width="15" style="20" bestFit="1" customWidth="1"/>
    <col min="10506" max="10507" width="10" style="20"/>
    <col min="10508" max="10509" width="11.625" style="20" bestFit="1" customWidth="1"/>
    <col min="10510" max="10511" width="10" style="20"/>
    <col min="10512" max="10512" width="33.875" style="20" bestFit="1" customWidth="1"/>
    <col min="10513" max="10742" width="10" style="20"/>
    <col min="10743" max="10743" width="5.625" style="20" customWidth="1"/>
    <col min="10744" max="10744" width="8.625" style="20" customWidth="1"/>
    <col min="10745" max="10745" width="21.75" style="20" customWidth="1"/>
    <col min="10746" max="10746" width="20.625" style="20" customWidth="1"/>
    <col min="10747" max="10747" width="26.625" style="20" customWidth="1"/>
    <col min="10748" max="10748" width="5.25" style="20" customWidth="1"/>
    <col min="10749" max="10749" width="1.875" style="20" customWidth="1"/>
    <col min="10750" max="10750" width="32.625" style="20" customWidth="1"/>
    <col min="10751" max="10751" width="2.25" style="20" customWidth="1"/>
    <col min="10752" max="10752" width="19.875" style="20" bestFit="1" customWidth="1"/>
    <col min="10753" max="10753" width="18.125" style="20" customWidth="1"/>
    <col min="10754" max="10754" width="7.625" style="20" customWidth="1"/>
    <col min="10755" max="10756" width="0" style="20" hidden="1" customWidth="1"/>
    <col min="10757" max="10757" width="15" style="20" customWidth="1"/>
    <col min="10758" max="10758" width="16.25" style="20" customWidth="1"/>
    <col min="10759" max="10759" width="16.5" style="20" customWidth="1"/>
    <col min="10760" max="10760" width="16.125" style="20" bestFit="1" customWidth="1"/>
    <col min="10761" max="10761" width="15" style="20" bestFit="1" customWidth="1"/>
    <col min="10762" max="10763" width="10" style="20"/>
    <col min="10764" max="10765" width="11.625" style="20" bestFit="1" customWidth="1"/>
    <col min="10766" max="10767" width="10" style="20"/>
    <col min="10768" max="10768" width="33.875" style="20" bestFit="1" customWidth="1"/>
    <col min="10769" max="10998" width="10" style="20"/>
    <col min="10999" max="10999" width="5.625" style="20" customWidth="1"/>
    <col min="11000" max="11000" width="8.625" style="20" customWidth="1"/>
    <col min="11001" max="11001" width="21.75" style="20" customWidth="1"/>
    <col min="11002" max="11002" width="20.625" style="20" customWidth="1"/>
    <col min="11003" max="11003" width="26.625" style="20" customWidth="1"/>
    <col min="11004" max="11004" width="5.25" style="20" customWidth="1"/>
    <col min="11005" max="11005" width="1.875" style="20" customWidth="1"/>
    <col min="11006" max="11006" width="32.625" style="20" customWidth="1"/>
    <col min="11007" max="11007" width="2.25" style="20" customWidth="1"/>
    <col min="11008" max="11008" width="19.875" style="20" bestFit="1" customWidth="1"/>
    <col min="11009" max="11009" width="18.125" style="20" customWidth="1"/>
    <col min="11010" max="11010" width="7.625" style="20" customWidth="1"/>
    <col min="11011" max="11012" width="0" style="20" hidden="1" customWidth="1"/>
    <col min="11013" max="11013" width="15" style="20" customWidth="1"/>
    <col min="11014" max="11014" width="16.25" style="20" customWidth="1"/>
    <col min="11015" max="11015" width="16.5" style="20" customWidth="1"/>
    <col min="11016" max="11016" width="16.125" style="20" bestFit="1" customWidth="1"/>
    <col min="11017" max="11017" width="15" style="20" bestFit="1" customWidth="1"/>
    <col min="11018" max="11019" width="10" style="20"/>
    <col min="11020" max="11021" width="11.625" style="20" bestFit="1" customWidth="1"/>
    <col min="11022" max="11023" width="10" style="20"/>
    <col min="11024" max="11024" width="33.875" style="20" bestFit="1" customWidth="1"/>
    <col min="11025" max="11254" width="10" style="20"/>
    <col min="11255" max="11255" width="5.625" style="20" customWidth="1"/>
    <col min="11256" max="11256" width="8.625" style="20" customWidth="1"/>
    <col min="11257" max="11257" width="21.75" style="20" customWidth="1"/>
    <col min="11258" max="11258" width="20.625" style="20" customWidth="1"/>
    <col min="11259" max="11259" width="26.625" style="20" customWidth="1"/>
    <col min="11260" max="11260" width="5.25" style="20" customWidth="1"/>
    <col min="11261" max="11261" width="1.875" style="20" customWidth="1"/>
    <col min="11262" max="11262" width="32.625" style="20" customWidth="1"/>
    <col min="11263" max="11263" width="2.25" style="20" customWidth="1"/>
    <col min="11264" max="11264" width="19.875" style="20" bestFit="1" customWidth="1"/>
    <col min="11265" max="11265" width="18.125" style="20" customWidth="1"/>
    <col min="11266" max="11266" width="7.625" style="20" customWidth="1"/>
    <col min="11267" max="11268" width="0" style="20" hidden="1" customWidth="1"/>
    <col min="11269" max="11269" width="15" style="20" customWidth="1"/>
    <col min="11270" max="11270" width="16.25" style="20" customWidth="1"/>
    <col min="11271" max="11271" width="16.5" style="20" customWidth="1"/>
    <col min="11272" max="11272" width="16.125" style="20" bestFit="1" customWidth="1"/>
    <col min="11273" max="11273" width="15" style="20" bestFit="1" customWidth="1"/>
    <col min="11274" max="11275" width="10" style="20"/>
    <col min="11276" max="11277" width="11.625" style="20" bestFit="1" customWidth="1"/>
    <col min="11278" max="11279" width="10" style="20"/>
    <col min="11280" max="11280" width="33.875" style="20" bestFit="1" customWidth="1"/>
    <col min="11281" max="11510" width="10" style="20"/>
    <col min="11511" max="11511" width="5.625" style="20" customWidth="1"/>
    <col min="11512" max="11512" width="8.625" style="20" customWidth="1"/>
    <col min="11513" max="11513" width="21.75" style="20" customWidth="1"/>
    <col min="11514" max="11514" width="20.625" style="20" customWidth="1"/>
    <col min="11515" max="11515" width="26.625" style="20" customWidth="1"/>
    <col min="11516" max="11516" width="5.25" style="20" customWidth="1"/>
    <col min="11517" max="11517" width="1.875" style="20" customWidth="1"/>
    <col min="11518" max="11518" width="32.625" style="20" customWidth="1"/>
    <col min="11519" max="11519" width="2.25" style="20" customWidth="1"/>
    <col min="11520" max="11520" width="19.875" style="20" bestFit="1" customWidth="1"/>
    <col min="11521" max="11521" width="18.125" style="20" customWidth="1"/>
    <col min="11522" max="11522" width="7.625" style="20" customWidth="1"/>
    <col min="11523" max="11524" width="0" style="20" hidden="1" customWidth="1"/>
    <col min="11525" max="11525" width="15" style="20" customWidth="1"/>
    <col min="11526" max="11526" width="16.25" style="20" customWidth="1"/>
    <col min="11527" max="11527" width="16.5" style="20" customWidth="1"/>
    <col min="11528" max="11528" width="16.125" style="20" bestFit="1" customWidth="1"/>
    <col min="11529" max="11529" width="15" style="20" bestFit="1" customWidth="1"/>
    <col min="11530" max="11531" width="10" style="20"/>
    <col min="11532" max="11533" width="11.625" style="20" bestFit="1" customWidth="1"/>
    <col min="11534" max="11535" width="10" style="20"/>
    <col min="11536" max="11536" width="33.875" style="20" bestFit="1" customWidth="1"/>
    <col min="11537" max="11766" width="10" style="20"/>
    <col min="11767" max="11767" width="5.625" style="20" customWidth="1"/>
    <col min="11768" max="11768" width="8.625" style="20" customWidth="1"/>
    <col min="11769" max="11769" width="21.75" style="20" customWidth="1"/>
    <col min="11770" max="11770" width="20.625" style="20" customWidth="1"/>
    <col min="11771" max="11771" width="26.625" style="20" customWidth="1"/>
    <col min="11772" max="11772" width="5.25" style="20" customWidth="1"/>
    <col min="11773" max="11773" width="1.875" style="20" customWidth="1"/>
    <col min="11774" max="11774" width="32.625" style="20" customWidth="1"/>
    <col min="11775" max="11775" width="2.25" style="20" customWidth="1"/>
    <col min="11776" max="11776" width="19.875" style="20" bestFit="1" customWidth="1"/>
    <col min="11777" max="11777" width="18.125" style="20" customWidth="1"/>
    <col min="11778" max="11778" width="7.625" style="20" customWidth="1"/>
    <col min="11779" max="11780" width="0" style="20" hidden="1" customWidth="1"/>
    <col min="11781" max="11781" width="15" style="20" customWidth="1"/>
    <col min="11782" max="11782" width="16.25" style="20" customWidth="1"/>
    <col min="11783" max="11783" width="16.5" style="20" customWidth="1"/>
    <col min="11784" max="11784" width="16.125" style="20" bestFit="1" customWidth="1"/>
    <col min="11785" max="11785" width="15" style="20" bestFit="1" customWidth="1"/>
    <col min="11786" max="11787" width="10" style="20"/>
    <col min="11788" max="11789" width="11.625" style="20" bestFit="1" customWidth="1"/>
    <col min="11790" max="11791" width="10" style="20"/>
    <col min="11792" max="11792" width="33.875" style="20" bestFit="1" customWidth="1"/>
    <col min="11793" max="12022" width="10" style="20"/>
    <col min="12023" max="12023" width="5.625" style="20" customWidth="1"/>
    <col min="12024" max="12024" width="8.625" style="20" customWidth="1"/>
    <col min="12025" max="12025" width="21.75" style="20" customWidth="1"/>
    <col min="12026" max="12026" width="20.625" style="20" customWidth="1"/>
    <col min="12027" max="12027" width="26.625" style="20" customWidth="1"/>
    <col min="12028" max="12028" width="5.25" style="20" customWidth="1"/>
    <col min="12029" max="12029" width="1.875" style="20" customWidth="1"/>
    <col min="12030" max="12030" width="32.625" style="20" customWidth="1"/>
    <col min="12031" max="12031" width="2.25" style="20" customWidth="1"/>
    <col min="12032" max="12032" width="19.875" style="20" bestFit="1" customWidth="1"/>
    <col min="12033" max="12033" width="18.125" style="20" customWidth="1"/>
    <col min="12034" max="12034" width="7.625" style="20" customWidth="1"/>
    <col min="12035" max="12036" width="0" style="20" hidden="1" customWidth="1"/>
    <col min="12037" max="12037" width="15" style="20" customWidth="1"/>
    <col min="12038" max="12038" width="16.25" style="20" customWidth="1"/>
    <col min="12039" max="12039" width="16.5" style="20" customWidth="1"/>
    <col min="12040" max="12040" width="16.125" style="20" bestFit="1" customWidth="1"/>
    <col min="12041" max="12041" width="15" style="20" bestFit="1" customWidth="1"/>
    <col min="12042" max="12043" width="10" style="20"/>
    <col min="12044" max="12045" width="11.625" style="20" bestFit="1" customWidth="1"/>
    <col min="12046" max="12047" width="10" style="20"/>
    <col min="12048" max="12048" width="33.875" style="20" bestFit="1" customWidth="1"/>
    <col min="12049" max="12278" width="10" style="20"/>
    <col min="12279" max="12279" width="5.625" style="20" customWidth="1"/>
    <col min="12280" max="12280" width="8.625" style="20" customWidth="1"/>
    <col min="12281" max="12281" width="21.75" style="20" customWidth="1"/>
    <col min="12282" max="12282" width="20.625" style="20" customWidth="1"/>
    <col min="12283" max="12283" width="26.625" style="20" customWidth="1"/>
    <col min="12284" max="12284" width="5.25" style="20" customWidth="1"/>
    <col min="12285" max="12285" width="1.875" style="20" customWidth="1"/>
    <col min="12286" max="12286" width="32.625" style="20" customWidth="1"/>
    <col min="12287" max="12287" width="2.25" style="20" customWidth="1"/>
    <col min="12288" max="12288" width="19.875" style="20" bestFit="1" customWidth="1"/>
    <col min="12289" max="12289" width="18.125" style="20" customWidth="1"/>
    <col min="12290" max="12290" width="7.625" style="20" customWidth="1"/>
    <col min="12291" max="12292" width="0" style="20" hidden="1" customWidth="1"/>
    <col min="12293" max="12293" width="15" style="20" customWidth="1"/>
    <col min="12294" max="12294" width="16.25" style="20" customWidth="1"/>
    <col min="12295" max="12295" width="16.5" style="20" customWidth="1"/>
    <col min="12296" max="12296" width="16.125" style="20" bestFit="1" customWidth="1"/>
    <col min="12297" max="12297" width="15" style="20" bestFit="1" customWidth="1"/>
    <col min="12298" max="12299" width="10" style="20"/>
    <col min="12300" max="12301" width="11.625" style="20" bestFit="1" customWidth="1"/>
    <col min="12302" max="12303" width="10" style="20"/>
    <col min="12304" max="12304" width="33.875" style="20" bestFit="1" customWidth="1"/>
    <col min="12305" max="12534" width="10" style="20"/>
    <col min="12535" max="12535" width="5.625" style="20" customWidth="1"/>
    <col min="12536" max="12536" width="8.625" style="20" customWidth="1"/>
    <col min="12537" max="12537" width="21.75" style="20" customWidth="1"/>
    <col min="12538" max="12538" width="20.625" style="20" customWidth="1"/>
    <col min="12539" max="12539" width="26.625" style="20" customWidth="1"/>
    <col min="12540" max="12540" width="5.25" style="20" customWidth="1"/>
    <col min="12541" max="12541" width="1.875" style="20" customWidth="1"/>
    <col min="12542" max="12542" width="32.625" style="20" customWidth="1"/>
    <col min="12543" max="12543" width="2.25" style="20" customWidth="1"/>
    <col min="12544" max="12544" width="19.875" style="20" bestFit="1" customWidth="1"/>
    <col min="12545" max="12545" width="18.125" style="20" customWidth="1"/>
    <col min="12546" max="12546" width="7.625" style="20" customWidth="1"/>
    <col min="12547" max="12548" width="0" style="20" hidden="1" customWidth="1"/>
    <col min="12549" max="12549" width="15" style="20" customWidth="1"/>
    <col min="12550" max="12550" width="16.25" style="20" customWidth="1"/>
    <col min="12551" max="12551" width="16.5" style="20" customWidth="1"/>
    <col min="12552" max="12552" width="16.125" style="20" bestFit="1" customWidth="1"/>
    <col min="12553" max="12553" width="15" style="20" bestFit="1" customWidth="1"/>
    <col min="12554" max="12555" width="10" style="20"/>
    <col min="12556" max="12557" width="11.625" style="20" bestFit="1" customWidth="1"/>
    <col min="12558" max="12559" width="10" style="20"/>
    <col min="12560" max="12560" width="33.875" style="20" bestFit="1" customWidth="1"/>
    <col min="12561" max="12790" width="10" style="20"/>
    <col min="12791" max="12791" width="5.625" style="20" customWidth="1"/>
    <col min="12792" max="12792" width="8.625" style="20" customWidth="1"/>
    <col min="12793" max="12793" width="21.75" style="20" customWidth="1"/>
    <col min="12794" max="12794" width="20.625" style="20" customWidth="1"/>
    <col min="12795" max="12795" width="26.625" style="20" customWidth="1"/>
    <col min="12796" max="12796" width="5.25" style="20" customWidth="1"/>
    <col min="12797" max="12797" width="1.875" style="20" customWidth="1"/>
    <col min="12798" max="12798" width="32.625" style="20" customWidth="1"/>
    <col min="12799" max="12799" width="2.25" style="20" customWidth="1"/>
    <col min="12800" max="12800" width="19.875" style="20" bestFit="1" customWidth="1"/>
    <col min="12801" max="12801" width="18.125" style="20" customWidth="1"/>
    <col min="12802" max="12802" width="7.625" style="20" customWidth="1"/>
    <col min="12803" max="12804" width="0" style="20" hidden="1" customWidth="1"/>
    <col min="12805" max="12805" width="15" style="20" customWidth="1"/>
    <col min="12806" max="12806" width="16.25" style="20" customWidth="1"/>
    <col min="12807" max="12807" width="16.5" style="20" customWidth="1"/>
    <col min="12808" max="12808" width="16.125" style="20" bestFit="1" customWidth="1"/>
    <col min="12809" max="12809" width="15" style="20" bestFit="1" customWidth="1"/>
    <col min="12810" max="12811" width="10" style="20"/>
    <col min="12812" max="12813" width="11.625" style="20" bestFit="1" customWidth="1"/>
    <col min="12814" max="12815" width="10" style="20"/>
    <col min="12816" max="12816" width="33.875" style="20" bestFit="1" customWidth="1"/>
    <col min="12817" max="13046" width="10" style="20"/>
    <col min="13047" max="13047" width="5.625" style="20" customWidth="1"/>
    <col min="13048" max="13048" width="8.625" style="20" customWidth="1"/>
    <col min="13049" max="13049" width="21.75" style="20" customWidth="1"/>
    <col min="13050" max="13050" width="20.625" style="20" customWidth="1"/>
    <col min="13051" max="13051" width="26.625" style="20" customWidth="1"/>
    <col min="13052" max="13052" width="5.25" style="20" customWidth="1"/>
    <col min="13053" max="13053" width="1.875" style="20" customWidth="1"/>
    <col min="13054" max="13054" width="32.625" style="20" customWidth="1"/>
    <col min="13055" max="13055" width="2.25" style="20" customWidth="1"/>
    <col min="13056" max="13056" width="19.875" style="20" bestFit="1" customWidth="1"/>
    <col min="13057" max="13057" width="18.125" style="20" customWidth="1"/>
    <col min="13058" max="13058" width="7.625" style="20" customWidth="1"/>
    <col min="13059" max="13060" width="0" style="20" hidden="1" customWidth="1"/>
    <col min="13061" max="13061" width="15" style="20" customWidth="1"/>
    <col min="13062" max="13062" width="16.25" style="20" customWidth="1"/>
    <col min="13063" max="13063" width="16.5" style="20" customWidth="1"/>
    <col min="13064" max="13064" width="16.125" style="20" bestFit="1" customWidth="1"/>
    <col min="13065" max="13065" width="15" style="20" bestFit="1" customWidth="1"/>
    <col min="13066" max="13067" width="10" style="20"/>
    <col min="13068" max="13069" width="11.625" style="20" bestFit="1" customWidth="1"/>
    <col min="13070" max="13071" width="10" style="20"/>
    <col min="13072" max="13072" width="33.875" style="20" bestFit="1" customWidth="1"/>
    <col min="13073" max="13302" width="10" style="20"/>
    <col min="13303" max="13303" width="5.625" style="20" customWidth="1"/>
    <col min="13304" max="13304" width="8.625" style="20" customWidth="1"/>
    <col min="13305" max="13305" width="21.75" style="20" customWidth="1"/>
    <col min="13306" max="13306" width="20.625" style="20" customWidth="1"/>
    <col min="13307" max="13307" width="26.625" style="20" customWidth="1"/>
    <col min="13308" max="13308" width="5.25" style="20" customWidth="1"/>
    <col min="13309" max="13309" width="1.875" style="20" customWidth="1"/>
    <col min="13310" max="13310" width="32.625" style="20" customWidth="1"/>
    <col min="13311" max="13311" width="2.25" style="20" customWidth="1"/>
    <col min="13312" max="13312" width="19.875" style="20" bestFit="1" customWidth="1"/>
    <col min="13313" max="13313" width="18.125" style="20" customWidth="1"/>
    <col min="13314" max="13314" width="7.625" style="20" customWidth="1"/>
    <col min="13315" max="13316" width="0" style="20" hidden="1" customWidth="1"/>
    <col min="13317" max="13317" width="15" style="20" customWidth="1"/>
    <col min="13318" max="13318" width="16.25" style="20" customWidth="1"/>
    <col min="13319" max="13319" width="16.5" style="20" customWidth="1"/>
    <col min="13320" max="13320" width="16.125" style="20" bestFit="1" customWidth="1"/>
    <col min="13321" max="13321" width="15" style="20" bestFit="1" customWidth="1"/>
    <col min="13322" max="13323" width="10" style="20"/>
    <col min="13324" max="13325" width="11.625" style="20" bestFit="1" customWidth="1"/>
    <col min="13326" max="13327" width="10" style="20"/>
    <col min="13328" max="13328" width="33.875" style="20" bestFit="1" customWidth="1"/>
    <col min="13329" max="13558" width="10" style="20"/>
    <col min="13559" max="13559" width="5.625" style="20" customWidth="1"/>
    <col min="13560" max="13560" width="8.625" style="20" customWidth="1"/>
    <col min="13561" max="13561" width="21.75" style="20" customWidth="1"/>
    <col min="13562" max="13562" width="20.625" style="20" customWidth="1"/>
    <col min="13563" max="13563" width="26.625" style="20" customWidth="1"/>
    <col min="13564" max="13564" width="5.25" style="20" customWidth="1"/>
    <col min="13565" max="13565" width="1.875" style="20" customWidth="1"/>
    <col min="13566" max="13566" width="32.625" style="20" customWidth="1"/>
    <col min="13567" max="13567" width="2.25" style="20" customWidth="1"/>
    <col min="13568" max="13568" width="19.875" style="20" bestFit="1" customWidth="1"/>
    <col min="13569" max="13569" width="18.125" style="20" customWidth="1"/>
    <col min="13570" max="13570" width="7.625" style="20" customWidth="1"/>
    <col min="13571" max="13572" width="0" style="20" hidden="1" customWidth="1"/>
    <col min="13573" max="13573" width="15" style="20" customWidth="1"/>
    <col min="13574" max="13574" width="16.25" style="20" customWidth="1"/>
    <col min="13575" max="13575" width="16.5" style="20" customWidth="1"/>
    <col min="13576" max="13576" width="16.125" style="20" bestFit="1" customWidth="1"/>
    <col min="13577" max="13577" width="15" style="20" bestFit="1" customWidth="1"/>
    <col min="13578" max="13579" width="10" style="20"/>
    <col min="13580" max="13581" width="11.625" style="20" bestFit="1" customWidth="1"/>
    <col min="13582" max="13583" width="10" style="20"/>
    <col min="13584" max="13584" width="33.875" style="20" bestFit="1" customWidth="1"/>
    <col min="13585" max="13814" width="10" style="20"/>
    <col min="13815" max="13815" width="5.625" style="20" customWidth="1"/>
    <col min="13816" max="13816" width="8.625" style="20" customWidth="1"/>
    <col min="13817" max="13817" width="21.75" style="20" customWidth="1"/>
    <col min="13818" max="13818" width="20.625" style="20" customWidth="1"/>
    <col min="13819" max="13819" width="26.625" style="20" customWidth="1"/>
    <col min="13820" max="13820" width="5.25" style="20" customWidth="1"/>
    <col min="13821" max="13821" width="1.875" style="20" customWidth="1"/>
    <col min="13822" max="13822" width="32.625" style="20" customWidth="1"/>
    <col min="13823" max="13823" width="2.25" style="20" customWidth="1"/>
    <col min="13824" max="13824" width="19.875" style="20" bestFit="1" customWidth="1"/>
    <col min="13825" max="13825" width="18.125" style="20" customWidth="1"/>
    <col min="13826" max="13826" width="7.625" style="20" customWidth="1"/>
    <col min="13827" max="13828" width="0" style="20" hidden="1" customWidth="1"/>
    <col min="13829" max="13829" width="15" style="20" customWidth="1"/>
    <col min="13830" max="13830" width="16.25" style="20" customWidth="1"/>
    <col min="13831" max="13831" width="16.5" style="20" customWidth="1"/>
    <col min="13832" max="13832" width="16.125" style="20" bestFit="1" customWidth="1"/>
    <col min="13833" max="13833" width="15" style="20" bestFit="1" customWidth="1"/>
    <col min="13834" max="13835" width="10" style="20"/>
    <col min="13836" max="13837" width="11.625" style="20" bestFit="1" customWidth="1"/>
    <col min="13838" max="13839" width="10" style="20"/>
    <col min="13840" max="13840" width="33.875" style="20" bestFit="1" customWidth="1"/>
    <col min="13841" max="14070" width="10" style="20"/>
    <col min="14071" max="14071" width="5.625" style="20" customWidth="1"/>
    <col min="14072" max="14072" width="8.625" style="20" customWidth="1"/>
    <col min="14073" max="14073" width="21.75" style="20" customWidth="1"/>
    <col min="14074" max="14074" width="20.625" style="20" customWidth="1"/>
    <col min="14075" max="14075" width="26.625" style="20" customWidth="1"/>
    <col min="14076" max="14076" width="5.25" style="20" customWidth="1"/>
    <col min="14077" max="14077" width="1.875" style="20" customWidth="1"/>
    <col min="14078" max="14078" width="32.625" style="20" customWidth="1"/>
    <col min="14079" max="14079" width="2.25" style="20" customWidth="1"/>
    <col min="14080" max="14080" width="19.875" style="20" bestFit="1" customWidth="1"/>
    <col min="14081" max="14081" width="18.125" style="20" customWidth="1"/>
    <col min="14082" max="14082" width="7.625" style="20" customWidth="1"/>
    <col min="14083" max="14084" width="0" style="20" hidden="1" customWidth="1"/>
    <col min="14085" max="14085" width="15" style="20" customWidth="1"/>
    <col min="14086" max="14086" width="16.25" style="20" customWidth="1"/>
    <col min="14087" max="14087" width="16.5" style="20" customWidth="1"/>
    <col min="14088" max="14088" width="16.125" style="20" bestFit="1" customWidth="1"/>
    <col min="14089" max="14089" width="15" style="20" bestFit="1" customWidth="1"/>
    <col min="14090" max="14091" width="10" style="20"/>
    <col min="14092" max="14093" width="11.625" style="20" bestFit="1" customWidth="1"/>
    <col min="14094" max="14095" width="10" style="20"/>
    <col min="14096" max="14096" width="33.875" style="20" bestFit="1" customWidth="1"/>
    <col min="14097" max="14326" width="10" style="20"/>
    <col min="14327" max="14327" width="5.625" style="20" customWidth="1"/>
    <col min="14328" max="14328" width="8.625" style="20" customWidth="1"/>
    <col min="14329" max="14329" width="21.75" style="20" customWidth="1"/>
    <col min="14330" max="14330" width="20.625" style="20" customWidth="1"/>
    <col min="14331" max="14331" width="26.625" style="20" customWidth="1"/>
    <col min="14332" max="14332" width="5.25" style="20" customWidth="1"/>
    <col min="14333" max="14333" width="1.875" style="20" customWidth="1"/>
    <col min="14334" max="14334" width="32.625" style="20" customWidth="1"/>
    <col min="14335" max="14335" width="2.25" style="20" customWidth="1"/>
    <col min="14336" max="14336" width="19.875" style="20" bestFit="1" customWidth="1"/>
    <col min="14337" max="14337" width="18.125" style="20" customWidth="1"/>
    <col min="14338" max="14338" width="7.625" style="20" customWidth="1"/>
    <col min="14339" max="14340" width="0" style="20" hidden="1" customWidth="1"/>
    <col min="14341" max="14341" width="15" style="20" customWidth="1"/>
    <col min="14342" max="14342" width="16.25" style="20" customWidth="1"/>
    <col min="14343" max="14343" width="16.5" style="20" customWidth="1"/>
    <col min="14344" max="14344" width="16.125" style="20" bestFit="1" customWidth="1"/>
    <col min="14345" max="14345" width="15" style="20" bestFit="1" customWidth="1"/>
    <col min="14346" max="14347" width="10" style="20"/>
    <col min="14348" max="14349" width="11.625" style="20" bestFit="1" customWidth="1"/>
    <col min="14350" max="14351" width="10" style="20"/>
    <col min="14352" max="14352" width="33.875" style="20" bestFit="1" customWidth="1"/>
    <col min="14353" max="14582" width="10" style="20"/>
    <col min="14583" max="14583" width="5.625" style="20" customWidth="1"/>
    <col min="14584" max="14584" width="8.625" style="20" customWidth="1"/>
    <col min="14585" max="14585" width="21.75" style="20" customWidth="1"/>
    <col min="14586" max="14586" width="20.625" style="20" customWidth="1"/>
    <col min="14587" max="14587" width="26.625" style="20" customWidth="1"/>
    <col min="14588" max="14588" width="5.25" style="20" customWidth="1"/>
    <col min="14589" max="14589" width="1.875" style="20" customWidth="1"/>
    <col min="14590" max="14590" width="32.625" style="20" customWidth="1"/>
    <col min="14591" max="14591" width="2.25" style="20" customWidth="1"/>
    <col min="14592" max="14592" width="19.875" style="20" bestFit="1" customWidth="1"/>
    <col min="14593" max="14593" width="18.125" style="20" customWidth="1"/>
    <col min="14594" max="14594" width="7.625" style="20" customWidth="1"/>
    <col min="14595" max="14596" width="0" style="20" hidden="1" customWidth="1"/>
    <col min="14597" max="14597" width="15" style="20" customWidth="1"/>
    <col min="14598" max="14598" width="16.25" style="20" customWidth="1"/>
    <col min="14599" max="14599" width="16.5" style="20" customWidth="1"/>
    <col min="14600" max="14600" width="16.125" style="20" bestFit="1" customWidth="1"/>
    <col min="14601" max="14601" width="15" style="20" bestFit="1" customWidth="1"/>
    <col min="14602" max="14603" width="10" style="20"/>
    <col min="14604" max="14605" width="11.625" style="20" bestFit="1" customWidth="1"/>
    <col min="14606" max="14607" width="10" style="20"/>
    <col min="14608" max="14608" width="33.875" style="20" bestFit="1" customWidth="1"/>
    <col min="14609" max="14838" width="10" style="20"/>
    <col min="14839" max="14839" width="5.625" style="20" customWidth="1"/>
    <col min="14840" max="14840" width="8.625" style="20" customWidth="1"/>
    <col min="14841" max="14841" width="21.75" style="20" customWidth="1"/>
    <col min="14842" max="14842" width="20.625" style="20" customWidth="1"/>
    <col min="14843" max="14843" width="26.625" style="20" customWidth="1"/>
    <col min="14844" max="14844" width="5.25" style="20" customWidth="1"/>
    <col min="14845" max="14845" width="1.875" style="20" customWidth="1"/>
    <col min="14846" max="14846" width="32.625" style="20" customWidth="1"/>
    <col min="14847" max="14847" width="2.25" style="20" customWidth="1"/>
    <col min="14848" max="14848" width="19.875" style="20" bestFit="1" customWidth="1"/>
    <col min="14849" max="14849" width="18.125" style="20" customWidth="1"/>
    <col min="14850" max="14850" width="7.625" style="20" customWidth="1"/>
    <col min="14851" max="14852" width="0" style="20" hidden="1" customWidth="1"/>
    <col min="14853" max="14853" width="15" style="20" customWidth="1"/>
    <col min="14854" max="14854" width="16.25" style="20" customWidth="1"/>
    <col min="14855" max="14855" width="16.5" style="20" customWidth="1"/>
    <col min="14856" max="14856" width="16.125" style="20" bestFit="1" customWidth="1"/>
    <col min="14857" max="14857" width="15" style="20" bestFit="1" customWidth="1"/>
    <col min="14858" max="14859" width="10" style="20"/>
    <col min="14860" max="14861" width="11.625" style="20" bestFit="1" customWidth="1"/>
    <col min="14862" max="14863" width="10" style="20"/>
    <col min="14864" max="14864" width="33.875" style="20" bestFit="1" customWidth="1"/>
    <col min="14865" max="15094" width="10" style="20"/>
    <col min="15095" max="15095" width="5.625" style="20" customWidth="1"/>
    <col min="15096" max="15096" width="8.625" style="20" customWidth="1"/>
    <col min="15097" max="15097" width="21.75" style="20" customWidth="1"/>
    <col min="15098" max="15098" width="20.625" style="20" customWidth="1"/>
    <col min="15099" max="15099" width="26.625" style="20" customWidth="1"/>
    <col min="15100" max="15100" width="5.25" style="20" customWidth="1"/>
    <col min="15101" max="15101" width="1.875" style="20" customWidth="1"/>
    <col min="15102" max="15102" width="32.625" style="20" customWidth="1"/>
    <col min="15103" max="15103" width="2.25" style="20" customWidth="1"/>
    <col min="15104" max="15104" width="19.875" style="20" bestFit="1" customWidth="1"/>
    <col min="15105" max="15105" width="18.125" style="20" customWidth="1"/>
    <col min="15106" max="15106" width="7.625" style="20" customWidth="1"/>
    <col min="15107" max="15108" width="0" style="20" hidden="1" customWidth="1"/>
    <col min="15109" max="15109" width="15" style="20" customWidth="1"/>
    <col min="15110" max="15110" width="16.25" style="20" customWidth="1"/>
    <col min="15111" max="15111" width="16.5" style="20" customWidth="1"/>
    <col min="15112" max="15112" width="16.125" style="20" bestFit="1" customWidth="1"/>
    <col min="15113" max="15113" width="15" style="20" bestFit="1" customWidth="1"/>
    <col min="15114" max="15115" width="10" style="20"/>
    <col min="15116" max="15117" width="11.625" style="20" bestFit="1" customWidth="1"/>
    <col min="15118" max="15119" width="10" style="20"/>
    <col min="15120" max="15120" width="33.875" style="20" bestFit="1" customWidth="1"/>
    <col min="15121" max="15350" width="10" style="20"/>
    <col min="15351" max="15351" width="5.625" style="20" customWidth="1"/>
    <col min="15352" max="15352" width="8.625" style="20" customWidth="1"/>
    <col min="15353" max="15353" width="21.75" style="20" customWidth="1"/>
    <col min="15354" max="15354" width="20.625" style="20" customWidth="1"/>
    <col min="15355" max="15355" width="26.625" style="20" customWidth="1"/>
    <col min="15356" max="15356" width="5.25" style="20" customWidth="1"/>
    <col min="15357" max="15357" width="1.875" style="20" customWidth="1"/>
    <col min="15358" max="15358" width="32.625" style="20" customWidth="1"/>
    <col min="15359" max="15359" width="2.25" style="20" customWidth="1"/>
    <col min="15360" max="15360" width="19.875" style="20" bestFit="1" customWidth="1"/>
    <col min="15361" max="15361" width="18.125" style="20" customWidth="1"/>
    <col min="15362" max="15362" width="7.625" style="20" customWidth="1"/>
    <col min="15363" max="15364" width="0" style="20" hidden="1" customWidth="1"/>
    <col min="15365" max="15365" width="15" style="20" customWidth="1"/>
    <col min="15366" max="15366" width="16.25" style="20" customWidth="1"/>
    <col min="15367" max="15367" width="16.5" style="20" customWidth="1"/>
    <col min="15368" max="15368" width="16.125" style="20" bestFit="1" customWidth="1"/>
    <col min="15369" max="15369" width="15" style="20" bestFit="1" customWidth="1"/>
    <col min="15370" max="15371" width="10" style="20"/>
    <col min="15372" max="15373" width="11.625" style="20" bestFit="1" customWidth="1"/>
    <col min="15374" max="15375" width="10" style="20"/>
    <col min="15376" max="15376" width="33.875" style="20" bestFit="1" customWidth="1"/>
    <col min="15377" max="15606" width="10" style="20"/>
    <col min="15607" max="15607" width="5.625" style="20" customWidth="1"/>
    <col min="15608" max="15608" width="8.625" style="20" customWidth="1"/>
    <col min="15609" max="15609" width="21.75" style="20" customWidth="1"/>
    <col min="15610" max="15610" width="20.625" style="20" customWidth="1"/>
    <col min="15611" max="15611" width="26.625" style="20" customWidth="1"/>
    <col min="15612" max="15612" width="5.25" style="20" customWidth="1"/>
    <col min="15613" max="15613" width="1.875" style="20" customWidth="1"/>
    <col min="15614" max="15614" width="32.625" style="20" customWidth="1"/>
    <col min="15615" max="15615" width="2.25" style="20" customWidth="1"/>
    <col min="15616" max="15616" width="19.875" style="20" bestFit="1" customWidth="1"/>
    <col min="15617" max="15617" width="18.125" style="20" customWidth="1"/>
    <col min="15618" max="15618" width="7.625" style="20" customWidth="1"/>
    <col min="15619" max="15620" width="0" style="20" hidden="1" customWidth="1"/>
    <col min="15621" max="15621" width="15" style="20" customWidth="1"/>
    <col min="15622" max="15622" width="16.25" style="20" customWidth="1"/>
    <col min="15623" max="15623" width="16.5" style="20" customWidth="1"/>
    <col min="15624" max="15624" width="16.125" style="20" bestFit="1" customWidth="1"/>
    <col min="15625" max="15625" width="15" style="20" bestFit="1" customWidth="1"/>
    <col min="15626" max="15627" width="10" style="20"/>
    <col min="15628" max="15629" width="11.625" style="20" bestFit="1" customWidth="1"/>
    <col min="15630" max="15631" width="10" style="20"/>
    <col min="15632" max="15632" width="33.875" style="20" bestFit="1" customWidth="1"/>
    <col min="15633" max="15862" width="10" style="20"/>
    <col min="15863" max="15863" width="5.625" style="20" customWidth="1"/>
    <col min="15864" max="15864" width="8.625" style="20" customWidth="1"/>
    <col min="15865" max="15865" width="21.75" style="20" customWidth="1"/>
    <col min="15866" max="15866" width="20.625" style="20" customWidth="1"/>
    <col min="15867" max="15867" width="26.625" style="20" customWidth="1"/>
    <col min="15868" max="15868" width="5.25" style="20" customWidth="1"/>
    <col min="15869" max="15869" width="1.875" style="20" customWidth="1"/>
    <col min="15870" max="15870" width="32.625" style="20" customWidth="1"/>
    <col min="15871" max="15871" width="2.25" style="20" customWidth="1"/>
    <col min="15872" max="15872" width="19.875" style="20" bestFit="1" customWidth="1"/>
    <col min="15873" max="15873" width="18.125" style="20" customWidth="1"/>
    <col min="15874" max="15874" width="7.625" style="20" customWidth="1"/>
    <col min="15875" max="15876" width="0" style="20" hidden="1" customWidth="1"/>
    <col min="15877" max="15877" width="15" style="20" customWidth="1"/>
    <col min="15878" max="15878" width="16.25" style="20" customWidth="1"/>
    <col min="15879" max="15879" width="16.5" style="20" customWidth="1"/>
    <col min="15880" max="15880" width="16.125" style="20" bestFit="1" customWidth="1"/>
    <col min="15881" max="15881" width="15" style="20" bestFit="1" customWidth="1"/>
    <col min="15882" max="15883" width="10" style="20"/>
    <col min="15884" max="15885" width="11.625" style="20" bestFit="1" customWidth="1"/>
    <col min="15886" max="15887" width="10" style="20"/>
    <col min="15888" max="15888" width="33.875" style="20" bestFit="1" customWidth="1"/>
    <col min="15889" max="16118" width="10" style="20"/>
    <col min="16119" max="16119" width="5.625" style="20" customWidth="1"/>
    <col min="16120" max="16120" width="8.625" style="20" customWidth="1"/>
    <col min="16121" max="16121" width="21.75" style="20" customWidth="1"/>
    <col min="16122" max="16122" width="20.625" style="20" customWidth="1"/>
    <col min="16123" max="16123" width="26.625" style="20" customWidth="1"/>
    <col min="16124" max="16124" width="5.25" style="20" customWidth="1"/>
    <col min="16125" max="16125" width="1.875" style="20" customWidth="1"/>
    <col min="16126" max="16126" width="32.625" style="20" customWidth="1"/>
    <col min="16127" max="16127" width="2.25" style="20" customWidth="1"/>
    <col min="16128" max="16128" width="19.875" style="20" bestFit="1" customWidth="1"/>
    <col min="16129" max="16129" width="18.125" style="20" customWidth="1"/>
    <col min="16130" max="16130" width="7.625" style="20" customWidth="1"/>
    <col min="16131" max="16132" width="0" style="20" hidden="1" customWidth="1"/>
    <col min="16133" max="16133" width="15" style="20" customWidth="1"/>
    <col min="16134" max="16134" width="16.25" style="20" customWidth="1"/>
    <col min="16135" max="16135" width="16.5" style="20" customWidth="1"/>
    <col min="16136" max="16136" width="16.125" style="20" bestFit="1" customWidth="1"/>
    <col min="16137" max="16137" width="15" style="20" bestFit="1" customWidth="1"/>
    <col min="16138" max="16139" width="10" style="20"/>
    <col min="16140" max="16141" width="11.625" style="20" bestFit="1" customWidth="1"/>
    <col min="16142" max="16143" width="10" style="20"/>
    <col min="16144" max="16144" width="33.875" style="20" bestFit="1" customWidth="1"/>
    <col min="16145" max="16384" width="10" style="20"/>
  </cols>
  <sheetData>
    <row r="1" spans="1:28" ht="18" customHeight="1" x14ac:dyDescent="0.15">
      <c r="A1" s="17"/>
      <c r="B1" s="17"/>
      <c r="C1" s="351" t="s">
        <v>324</v>
      </c>
      <c r="D1" s="351"/>
      <c r="E1" s="351"/>
      <c r="F1" s="18"/>
      <c r="G1" s="18"/>
      <c r="H1" s="19" t="s">
        <v>325</v>
      </c>
      <c r="J1" s="23"/>
      <c r="K1" s="23"/>
      <c r="L1" s="23"/>
      <c r="M1" s="20"/>
      <c r="N1" s="20"/>
      <c r="O1" s="20"/>
      <c r="P1" s="20"/>
      <c r="Q1" s="20"/>
      <c r="R1" s="20"/>
      <c r="S1" s="20"/>
      <c r="T1" s="20"/>
      <c r="U1" s="20"/>
      <c r="V1" s="20"/>
      <c r="W1" s="20"/>
      <c r="X1" s="20"/>
      <c r="Y1" s="20"/>
      <c r="Z1" s="20"/>
      <c r="AA1" s="20"/>
      <c r="AB1" s="20"/>
    </row>
    <row r="2" spans="1:28" ht="15.95" customHeight="1" x14ac:dyDescent="0.15">
      <c r="A2" s="24" t="s">
        <v>327</v>
      </c>
      <c r="B2" s="25"/>
      <c r="C2" s="24" t="e">
        <f>#REF!</f>
        <v>#REF!</v>
      </c>
      <c r="D2" s="25"/>
      <c r="E2" s="25"/>
      <c r="F2" s="25"/>
      <c r="G2" s="25"/>
      <c r="H2" s="25"/>
      <c r="J2" s="23"/>
      <c r="K2" s="23"/>
      <c r="L2" s="23"/>
      <c r="M2" s="20"/>
      <c r="N2" s="20"/>
      <c r="O2" s="20"/>
      <c r="P2" s="20"/>
      <c r="Q2" s="20"/>
      <c r="R2" s="20"/>
      <c r="S2" s="20"/>
      <c r="T2" s="20"/>
      <c r="U2" s="20"/>
      <c r="V2" s="20"/>
      <c r="W2" s="20"/>
      <c r="X2" s="20"/>
      <c r="Y2" s="20"/>
      <c r="Z2" s="20"/>
      <c r="AA2" s="20"/>
      <c r="AB2" s="20"/>
    </row>
    <row r="3" spans="1:28" ht="15.95" customHeight="1" x14ac:dyDescent="0.15">
      <c r="A3" s="24" t="s">
        <v>328</v>
      </c>
      <c r="B3" s="25"/>
      <c r="C3" s="26" t="str">
        <f>"일금"&amp;NUMBERSTRING(D38,1)&amp;"원정  "&amp;TEXT( D38," (\#,###) " )</f>
        <v xml:space="preserve">일금이천칠백삼십구만구천원정   (₩27,399,000) </v>
      </c>
      <c r="D3" s="26"/>
      <c r="E3" s="27"/>
      <c r="F3" s="27"/>
      <c r="G3" s="27"/>
      <c r="H3" s="28"/>
      <c r="J3" s="23"/>
      <c r="K3" s="23"/>
      <c r="L3" s="23"/>
      <c r="M3" s="20"/>
      <c r="N3" s="20"/>
      <c r="O3" s="20"/>
      <c r="P3" s="20"/>
      <c r="Q3" s="20"/>
      <c r="R3" s="20"/>
      <c r="S3" s="20"/>
      <c r="T3" s="20"/>
      <c r="U3" s="20"/>
      <c r="V3" s="20"/>
      <c r="W3" s="20"/>
      <c r="X3" s="20"/>
      <c r="Y3" s="20"/>
      <c r="Z3" s="20"/>
      <c r="AA3" s="20"/>
      <c r="AB3" s="20"/>
    </row>
    <row r="4" spans="1:28" ht="21.95" customHeight="1" x14ac:dyDescent="0.15">
      <c r="A4" s="352"/>
      <c r="B4" s="353"/>
      <c r="C4" s="354"/>
      <c r="D4" s="29" t="s">
        <v>329</v>
      </c>
      <c r="E4" s="349" t="s">
        <v>330</v>
      </c>
      <c r="F4" s="355"/>
      <c r="G4" s="350"/>
      <c r="H4" s="30" t="s">
        <v>331</v>
      </c>
      <c r="J4" s="23"/>
      <c r="K4" s="23"/>
      <c r="L4" s="23"/>
      <c r="M4" s="20"/>
      <c r="N4" s="20"/>
      <c r="O4" s="20"/>
      <c r="P4" s="20"/>
      <c r="Q4" s="20"/>
      <c r="R4" s="20"/>
      <c r="S4" s="20"/>
      <c r="T4" s="20"/>
      <c r="U4" s="20"/>
      <c r="V4" s="20"/>
      <c r="W4" s="20"/>
      <c r="X4" s="20"/>
      <c r="Y4" s="20"/>
      <c r="Z4" s="20"/>
      <c r="AA4" s="20"/>
      <c r="AB4" s="20"/>
    </row>
    <row r="5" spans="1:28" ht="15.95" customHeight="1" x14ac:dyDescent="0.15">
      <c r="A5" s="31"/>
      <c r="B5" s="32" t="s">
        <v>332</v>
      </c>
      <c r="C5" s="33" t="s">
        <v>333</v>
      </c>
      <c r="D5" s="34"/>
      <c r="E5" s="35"/>
      <c r="F5" s="29"/>
      <c r="G5" s="36"/>
      <c r="H5" s="36"/>
      <c r="J5" s="23"/>
      <c r="K5" s="23"/>
      <c r="L5" s="23"/>
      <c r="M5" s="20"/>
      <c r="N5" s="20"/>
      <c r="O5" s="20"/>
      <c r="P5" s="20"/>
      <c r="Q5" s="20"/>
      <c r="R5" s="20"/>
      <c r="S5" s="20"/>
      <c r="T5" s="20"/>
      <c r="U5" s="20"/>
      <c r="V5" s="20"/>
      <c r="W5" s="20"/>
      <c r="X5" s="20"/>
      <c r="Y5" s="20"/>
      <c r="Z5" s="20"/>
      <c r="AA5" s="20"/>
      <c r="AB5" s="20"/>
    </row>
    <row r="6" spans="1:28" ht="15.95" customHeight="1" x14ac:dyDescent="0.15">
      <c r="A6" s="37"/>
      <c r="B6" s="38" t="s">
        <v>334</v>
      </c>
      <c r="C6" s="33" t="s">
        <v>335</v>
      </c>
      <c r="D6" s="39"/>
      <c r="E6" s="40"/>
      <c r="F6" s="41"/>
      <c r="G6" s="42"/>
      <c r="H6" s="42"/>
      <c r="J6" s="23"/>
      <c r="K6" s="23"/>
      <c r="L6" s="23"/>
      <c r="M6" s="20"/>
      <c r="N6" s="20"/>
      <c r="O6" s="20"/>
      <c r="P6" s="20"/>
      <c r="Q6" s="20"/>
      <c r="R6" s="20"/>
      <c r="S6" s="20"/>
      <c r="T6" s="20"/>
      <c r="U6" s="20"/>
      <c r="V6" s="20"/>
      <c r="W6" s="20"/>
      <c r="X6" s="20"/>
      <c r="Y6" s="20"/>
      <c r="Z6" s="20"/>
      <c r="AA6" s="20"/>
      <c r="AB6" s="20"/>
    </row>
    <row r="7" spans="1:28" ht="15.95" customHeight="1" x14ac:dyDescent="0.15">
      <c r="A7" s="43" t="s">
        <v>336</v>
      </c>
      <c r="B7" s="38" t="s">
        <v>337</v>
      </c>
      <c r="C7" s="33" t="s">
        <v>338</v>
      </c>
      <c r="D7" s="44"/>
      <c r="E7" s="45"/>
      <c r="F7" s="46"/>
      <c r="G7" s="47"/>
      <c r="H7" s="47"/>
      <c r="J7" s="23"/>
      <c r="K7" s="23"/>
      <c r="L7" s="23"/>
      <c r="M7" s="20"/>
      <c r="N7" s="20"/>
      <c r="O7" s="20"/>
      <c r="P7" s="20"/>
      <c r="Q7" s="20"/>
      <c r="R7" s="20"/>
      <c r="S7" s="20"/>
      <c r="T7" s="20"/>
      <c r="U7" s="20"/>
      <c r="V7" s="20"/>
      <c r="W7" s="20"/>
      <c r="X7" s="20"/>
      <c r="Y7" s="20"/>
      <c r="Z7" s="20"/>
      <c r="AA7" s="20"/>
      <c r="AB7" s="20"/>
    </row>
    <row r="8" spans="1:28" ht="15.95" customHeight="1" x14ac:dyDescent="0.15">
      <c r="A8" s="43"/>
      <c r="B8" s="48"/>
      <c r="C8" s="33" t="s">
        <v>339</v>
      </c>
      <c r="D8" s="39"/>
      <c r="E8" s="40"/>
      <c r="F8" s="41"/>
      <c r="G8" s="42"/>
      <c r="H8" s="42"/>
      <c r="J8" s="23"/>
      <c r="K8" s="23"/>
      <c r="L8" s="23"/>
      <c r="M8" s="20"/>
      <c r="N8" s="20"/>
      <c r="O8" s="20"/>
      <c r="P8" s="20"/>
      <c r="Q8" s="20"/>
      <c r="R8" s="20"/>
      <c r="S8" s="20"/>
      <c r="T8" s="20"/>
      <c r="U8" s="20"/>
      <c r="V8" s="20"/>
      <c r="W8" s="20"/>
      <c r="X8" s="20"/>
      <c r="Y8" s="20"/>
      <c r="Z8" s="20"/>
      <c r="AA8" s="20"/>
      <c r="AB8" s="20"/>
    </row>
    <row r="9" spans="1:28" ht="15.95" customHeight="1" x14ac:dyDescent="0.15">
      <c r="A9" s="43"/>
      <c r="B9" s="49" t="s">
        <v>340</v>
      </c>
      <c r="C9" s="33" t="s">
        <v>341</v>
      </c>
      <c r="D9" s="34"/>
      <c r="E9" s="35"/>
      <c r="F9" s="29"/>
      <c r="G9" s="36"/>
      <c r="H9" s="36"/>
      <c r="J9" s="23"/>
      <c r="K9" s="23"/>
      <c r="L9" s="23"/>
      <c r="M9" s="20"/>
      <c r="N9" s="20"/>
      <c r="O9" s="20"/>
      <c r="P9" s="20"/>
      <c r="Q9" s="20"/>
      <c r="R9" s="20"/>
      <c r="S9" s="20"/>
      <c r="T9" s="20"/>
      <c r="U9" s="20"/>
      <c r="V9" s="20"/>
      <c r="W9" s="20"/>
      <c r="X9" s="20"/>
      <c r="Y9" s="20"/>
      <c r="Z9" s="20"/>
      <c r="AA9" s="20"/>
      <c r="AB9" s="20"/>
    </row>
    <row r="10" spans="1:28" ht="15.95" customHeight="1" x14ac:dyDescent="0.15">
      <c r="A10" s="43" t="s">
        <v>342</v>
      </c>
      <c r="B10" s="50" t="s">
        <v>343</v>
      </c>
      <c r="C10" s="33" t="e">
        <f>#REF!</f>
        <v>#REF!</v>
      </c>
      <c r="D10" s="39"/>
      <c r="E10" s="40" t="s">
        <v>344</v>
      </c>
      <c r="F10" s="51" t="e">
        <f>IF(#REF!=" "," ",#REF!)</f>
        <v>#REF!</v>
      </c>
      <c r="G10" s="42" t="s">
        <v>345</v>
      </c>
      <c r="H10" s="52" t="e">
        <f>VLOOKUP(#REF!,#REF!,7,FALSE)</f>
        <v>#REF!</v>
      </c>
      <c r="J10" s="23"/>
      <c r="K10" s="23"/>
      <c r="L10" s="23"/>
      <c r="M10" s="20"/>
      <c r="N10" s="20"/>
      <c r="O10" s="20"/>
      <c r="P10" s="20"/>
      <c r="Q10" s="20"/>
      <c r="R10" s="20"/>
      <c r="S10" s="20"/>
      <c r="T10" s="20"/>
      <c r="U10" s="20"/>
      <c r="V10" s="20"/>
      <c r="W10" s="20"/>
      <c r="X10" s="20"/>
      <c r="Y10" s="20"/>
      <c r="Z10" s="20"/>
      <c r="AA10" s="20"/>
      <c r="AB10" s="20"/>
    </row>
    <row r="11" spans="1:28" ht="15.95" customHeight="1" x14ac:dyDescent="0.15">
      <c r="A11" s="43"/>
      <c r="B11" s="48" t="s">
        <v>337</v>
      </c>
      <c r="C11" s="33" t="s">
        <v>346</v>
      </c>
      <c r="D11" s="39"/>
      <c r="E11" s="40"/>
      <c r="F11" s="51">
        <v>0</v>
      </c>
      <c r="G11" s="42"/>
      <c r="H11" s="42"/>
      <c r="J11" s="23"/>
      <c r="K11" s="23"/>
      <c r="L11" s="23"/>
      <c r="M11" s="20"/>
      <c r="N11" s="20"/>
      <c r="O11" s="20"/>
      <c r="P11" s="20"/>
      <c r="Q11" s="20"/>
      <c r="R11" s="20"/>
      <c r="S11" s="20"/>
      <c r="T11" s="20"/>
      <c r="U11" s="20"/>
      <c r="V11" s="20"/>
      <c r="W11" s="20"/>
      <c r="X11" s="20"/>
      <c r="Y11" s="20"/>
      <c r="Z11" s="20"/>
      <c r="AA11" s="20"/>
      <c r="AB11" s="20"/>
    </row>
    <row r="12" spans="1:28" ht="15.95" customHeight="1" x14ac:dyDescent="0.15">
      <c r="A12" s="43"/>
      <c r="B12" s="50"/>
      <c r="C12" s="33" t="e">
        <f>#REF!</f>
        <v>#REF!</v>
      </c>
      <c r="D12" s="39"/>
      <c r="E12" s="40"/>
      <c r="F12" s="51">
        <v>0</v>
      </c>
      <c r="G12" s="42"/>
      <c r="H12" s="42"/>
      <c r="J12" s="23"/>
      <c r="K12" s="23"/>
      <c r="L12" s="23"/>
      <c r="M12" s="20"/>
      <c r="N12" s="20"/>
      <c r="O12" s="20"/>
      <c r="P12" s="20"/>
      <c r="Q12" s="20"/>
      <c r="R12" s="20"/>
      <c r="S12" s="20"/>
      <c r="T12" s="20"/>
      <c r="U12" s="20"/>
      <c r="V12" s="20"/>
      <c r="W12" s="20"/>
      <c r="X12" s="20"/>
      <c r="Y12" s="20"/>
      <c r="Z12" s="20"/>
      <c r="AA12" s="20"/>
      <c r="AB12" s="20"/>
    </row>
    <row r="13" spans="1:28" ht="15.95" customHeight="1" x14ac:dyDescent="0.15">
      <c r="A13" s="43" t="s">
        <v>347</v>
      </c>
      <c r="B13" s="50"/>
      <c r="C13" s="33" t="e">
        <f>#REF!</f>
        <v>#REF!</v>
      </c>
      <c r="D13" s="39"/>
      <c r="E13" s="40" t="s">
        <v>348</v>
      </c>
      <c r="F13" s="51" t="e">
        <f>IF(#REF!=" "," ",#REF!)</f>
        <v>#REF!</v>
      </c>
      <c r="G13" s="42" t="s">
        <v>349</v>
      </c>
      <c r="H13" s="42"/>
      <c r="I13" s="53"/>
      <c r="J13" s="23"/>
      <c r="K13" s="23"/>
      <c r="L13" s="23"/>
      <c r="M13" s="20"/>
      <c r="N13" s="20"/>
      <c r="O13" s="20"/>
      <c r="P13" s="20"/>
      <c r="Q13" s="20"/>
      <c r="R13" s="20"/>
      <c r="S13" s="20"/>
      <c r="T13" s="20"/>
      <c r="U13" s="20"/>
      <c r="V13" s="20"/>
      <c r="W13" s="20"/>
      <c r="X13" s="20"/>
      <c r="Y13" s="20"/>
      <c r="Z13" s="20"/>
      <c r="AA13" s="20"/>
      <c r="AB13" s="20"/>
    </row>
    <row r="14" spans="1:28" ht="15.95" customHeight="1" x14ac:dyDescent="0.15">
      <c r="A14" s="43"/>
      <c r="B14" s="50" t="s">
        <v>352</v>
      </c>
      <c r="C14" s="33" t="e">
        <f>#REF!</f>
        <v>#REF!</v>
      </c>
      <c r="D14" s="39"/>
      <c r="E14" s="40" t="s">
        <v>348</v>
      </c>
      <c r="F14" s="51" t="e">
        <f>IF(#REF!=" "," ",#REF!)</f>
        <v>#REF!</v>
      </c>
      <c r="G14" s="42" t="s">
        <v>345</v>
      </c>
      <c r="H14" s="42"/>
      <c r="I14" s="53"/>
      <c r="J14" s="23"/>
      <c r="K14" s="23"/>
      <c r="L14" s="23"/>
      <c r="M14" s="20"/>
      <c r="N14" s="20"/>
      <c r="O14" s="20"/>
      <c r="P14" s="20"/>
      <c r="Q14" s="20"/>
      <c r="R14" s="20"/>
      <c r="S14" s="20"/>
      <c r="T14" s="20"/>
      <c r="U14" s="20"/>
      <c r="V14" s="20"/>
      <c r="W14" s="20"/>
      <c r="X14" s="20"/>
      <c r="Y14" s="20"/>
      <c r="Z14" s="20"/>
      <c r="AA14" s="20"/>
      <c r="AB14" s="20"/>
    </row>
    <row r="15" spans="1:28" ht="15.95" customHeight="1" x14ac:dyDescent="0.15">
      <c r="A15" s="43"/>
      <c r="B15" s="50"/>
      <c r="C15" s="33" t="e">
        <f>#REF!</f>
        <v>#REF!</v>
      </c>
      <c r="D15" s="39"/>
      <c r="E15" s="54" t="e">
        <f>IF(#REF!=0,0,#REF!)</f>
        <v>#REF!</v>
      </c>
      <c r="F15" s="51" t="e">
        <f>IF(#REF!=" "," ",#REF!)</f>
        <v>#REF!</v>
      </c>
      <c r="G15" s="42" t="s">
        <v>345</v>
      </c>
      <c r="H15" s="42" t="s">
        <v>353</v>
      </c>
      <c r="I15" s="53"/>
      <c r="J15" s="23"/>
      <c r="K15" s="23"/>
      <c r="L15" s="23"/>
      <c r="M15" s="20"/>
      <c r="N15" s="20"/>
      <c r="O15" s="20"/>
      <c r="P15" s="20"/>
      <c r="Q15" s="20"/>
      <c r="R15" s="20"/>
      <c r="S15" s="20"/>
      <c r="T15" s="20"/>
      <c r="U15" s="20"/>
      <c r="V15" s="20"/>
      <c r="W15" s="20"/>
      <c r="X15" s="20"/>
      <c r="Y15" s="20"/>
      <c r="Z15" s="20"/>
      <c r="AA15" s="20"/>
      <c r="AB15" s="20"/>
    </row>
    <row r="16" spans="1:28" ht="15.95" customHeight="1" x14ac:dyDescent="0.15">
      <c r="A16" s="43" t="s">
        <v>354</v>
      </c>
      <c r="B16" s="50"/>
      <c r="C16" s="33" t="e">
        <f>#REF!</f>
        <v>#REF!</v>
      </c>
      <c r="D16" s="39"/>
      <c r="E16" s="40" t="s">
        <v>344</v>
      </c>
      <c r="F16" s="55" t="e">
        <f>IF(#REF!=" "," ",#REF!)</f>
        <v>#REF!</v>
      </c>
      <c r="G16" s="42" t="s">
        <v>345</v>
      </c>
      <c r="H16" s="356" t="s">
        <v>355</v>
      </c>
      <c r="J16" s="23"/>
      <c r="K16" s="23"/>
      <c r="L16" s="23"/>
      <c r="M16" s="20"/>
      <c r="N16" s="20"/>
      <c r="O16" s="20"/>
      <c r="P16" s="20"/>
      <c r="Q16" s="20"/>
      <c r="R16" s="20"/>
      <c r="S16" s="20"/>
      <c r="T16" s="20"/>
      <c r="U16" s="20"/>
      <c r="V16" s="20"/>
      <c r="W16" s="20"/>
      <c r="X16" s="20"/>
      <c r="Y16" s="20"/>
      <c r="Z16" s="20"/>
      <c r="AA16" s="20"/>
      <c r="AB16" s="20"/>
    </row>
    <row r="17" spans="1:28" ht="15.95" customHeight="1" x14ac:dyDescent="0.15">
      <c r="A17" s="43"/>
      <c r="B17" s="50"/>
      <c r="C17" s="33" t="e">
        <f>#REF!</f>
        <v>#REF!</v>
      </c>
      <c r="D17" s="39"/>
      <c r="E17" s="40" t="s">
        <v>356</v>
      </c>
      <c r="F17" s="51" t="e">
        <f>IF(#REF!=" "," ",#REF!)</f>
        <v>#REF!</v>
      </c>
      <c r="G17" s="42" t="s">
        <v>345</v>
      </c>
      <c r="H17" s="357"/>
      <c r="J17" s="23"/>
      <c r="K17" s="23"/>
      <c r="L17" s="23"/>
      <c r="M17" s="20"/>
      <c r="N17" s="20"/>
      <c r="O17" s="20"/>
      <c r="P17" s="20"/>
      <c r="Q17" s="20"/>
      <c r="R17" s="20"/>
      <c r="S17" s="20"/>
      <c r="T17" s="20"/>
      <c r="U17" s="20"/>
      <c r="V17" s="20"/>
      <c r="W17" s="20"/>
      <c r="X17" s="20"/>
      <c r="Y17" s="20"/>
      <c r="Z17" s="20"/>
      <c r="AA17" s="20"/>
      <c r="AB17" s="20"/>
    </row>
    <row r="18" spans="1:28" ht="15.95" customHeight="1" x14ac:dyDescent="0.15">
      <c r="A18" s="43"/>
      <c r="B18" s="50" t="s">
        <v>357</v>
      </c>
      <c r="C18" s="33" t="e">
        <f>#REF!</f>
        <v>#REF!</v>
      </c>
      <c r="D18" s="39"/>
      <c r="E18" s="40" t="s">
        <v>344</v>
      </c>
      <c r="F18" s="51" t="e">
        <f>IF(#REF!=" "," ",#REF!)</f>
        <v>#REF!</v>
      </c>
      <c r="G18" s="42" t="s">
        <v>345</v>
      </c>
      <c r="H18" s="358"/>
      <c r="J18" s="23"/>
      <c r="K18" s="23"/>
      <c r="L18" s="23"/>
      <c r="M18" s="20"/>
      <c r="N18" s="20"/>
      <c r="O18" s="20"/>
      <c r="P18" s="20"/>
      <c r="Q18" s="20"/>
      <c r="R18" s="20"/>
      <c r="S18" s="20"/>
      <c r="T18" s="20"/>
      <c r="U18" s="20"/>
      <c r="V18" s="20"/>
      <c r="W18" s="20"/>
      <c r="X18" s="20"/>
      <c r="Y18" s="20"/>
      <c r="Z18" s="20"/>
      <c r="AA18" s="20"/>
      <c r="AB18" s="20"/>
    </row>
    <row r="19" spans="1:28" ht="15.95" customHeight="1" x14ac:dyDescent="0.15">
      <c r="A19" s="43" t="s">
        <v>358</v>
      </c>
      <c r="B19" s="50"/>
      <c r="C19" s="33" t="e">
        <f>#REF!</f>
        <v>#REF!</v>
      </c>
      <c r="D19" s="39"/>
      <c r="E19" s="40" t="s">
        <v>344</v>
      </c>
      <c r="F19" s="51" t="e">
        <f>IF(#REF!=" "," ",#REF!)</f>
        <v>#REF!</v>
      </c>
      <c r="G19" s="42" t="s">
        <v>345</v>
      </c>
      <c r="H19" s="42" t="s">
        <v>359</v>
      </c>
      <c r="J19" s="23"/>
      <c r="K19" s="23"/>
      <c r="L19" s="23"/>
      <c r="M19" s="20"/>
      <c r="N19" s="20"/>
      <c r="O19" s="20"/>
      <c r="P19" s="20"/>
      <c r="Q19" s="20"/>
      <c r="R19" s="20"/>
      <c r="S19" s="20"/>
      <c r="T19" s="20"/>
      <c r="U19" s="20"/>
      <c r="V19" s="20"/>
      <c r="W19" s="20"/>
      <c r="X19" s="20"/>
      <c r="Y19" s="20"/>
      <c r="Z19" s="20"/>
      <c r="AA19" s="20"/>
      <c r="AB19" s="20"/>
    </row>
    <row r="20" spans="1:28" ht="15.95" customHeight="1" x14ac:dyDescent="0.15">
      <c r="A20" s="43"/>
      <c r="B20" s="50"/>
      <c r="C20" s="33" t="e">
        <f>#REF!</f>
        <v>#REF!</v>
      </c>
      <c r="D20" s="39"/>
      <c r="E20" s="40" t="s">
        <v>360</v>
      </c>
      <c r="F20" s="51" t="e">
        <f>IF(#REF!=" "," ",#REF!)</f>
        <v>#REF!</v>
      </c>
      <c r="G20" s="42" t="s">
        <v>345</v>
      </c>
      <c r="H20" s="52" t="e">
        <f>VLOOKUP(#REF!,#REF!,7,FALSE)</f>
        <v>#REF!</v>
      </c>
      <c r="J20" s="23"/>
      <c r="K20" s="23"/>
      <c r="L20" s="23"/>
      <c r="M20" s="20"/>
      <c r="N20" s="20"/>
      <c r="O20" s="20"/>
      <c r="P20" s="20"/>
      <c r="Q20" s="20"/>
      <c r="R20" s="20"/>
      <c r="S20" s="20"/>
      <c r="T20" s="20"/>
      <c r="U20" s="20"/>
      <c r="V20" s="20"/>
      <c r="W20" s="20"/>
      <c r="X20" s="20"/>
      <c r="Y20" s="20"/>
      <c r="Z20" s="20"/>
      <c r="AA20" s="20"/>
      <c r="AB20" s="20"/>
    </row>
    <row r="21" spans="1:28" ht="15.95" customHeight="1" x14ac:dyDescent="0.15">
      <c r="A21" s="43"/>
      <c r="B21" s="50"/>
      <c r="C21" s="33" t="e">
        <f>#REF!</f>
        <v>#REF!</v>
      </c>
      <c r="D21" s="39"/>
      <c r="E21" s="40" t="s">
        <v>348</v>
      </c>
      <c r="F21" s="55" t="e">
        <f>IF(#REF!=" "," ",#REF!)</f>
        <v>#REF!</v>
      </c>
      <c r="G21" s="42" t="s">
        <v>345</v>
      </c>
      <c r="H21" s="52"/>
      <c r="J21" s="23"/>
      <c r="K21" s="23"/>
      <c r="L21" s="23"/>
      <c r="M21" s="20"/>
      <c r="N21" s="20"/>
      <c r="O21" s="20"/>
      <c r="P21" s="20"/>
      <c r="Q21" s="20"/>
      <c r="R21" s="20"/>
      <c r="S21" s="20"/>
      <c r="T21" s="20"/>
      <c r="U21" s="20"/>
      <c r="V21" s="20"/>
      <c r="W21" s="20"/>
      <c r="X21" s="20"/>
      <c r="Y21" s="20"/>
      <c r="Z21" s="20"/>
      <c r="AA21" s="20"/>
      <c r="AB21" s="20"/>
    </row>
    <row r="22" spans="1:28" ht="15.95" customHeight="1" x14ac:dyDescent="0.15">
      <c r="A22" s="43"/>
      <c r="B22" s="50"/>
      <c r="C22" s="33" t="e">
        <f>#REF!</f>
        <v>#REF!</v>
      </c>
      <c r="D22" s="39"/>
      <c r="E22" s="40" t="s">
        <v>348</v>
      </c>
      <c r="F22" s="51" t="e">
        <f>IF(#REF!=" "," ",#REF!)</f>
        <v>#REF!</v>
      </c>
      <c r="G22" s="42" t="s">
        <v>345</v>
      </c>
      <c r="H22" s="52"/>
      <c r="J22" s="23"/>
      <c r="K22" s="23"/>
      <c r="L22" s="23"/>
      <c r="M22" s="20"/>
      <c r="N22" s="20"/>
      <c r="O22" s="20"/>
      <c r="P22" s="20"/>
      <c r="Q22" s="20"/>
      <c r="R22" s="20"/>
      <c r="S22" s="20"/>
      <c r="T22" s="20"/>
      <c r="U22" s="20"/>
      <c r="V22" s="20"/>
      <c r="W22" s="20"/>
      <c r="X22" s="20"/>
      <c r="Y22" s="20"/>
      <c r="Z22" s="20"/>
      <c r="AA22" s="20"/>
      <c r="AB22" s="20"/>
    </row>
    <row r="23" spans="1:28" ht="15.95" customHeight="1" x14ac:dyDescent="0.15">
      <c r="A23" s="56"/>
      <c r="B23" s="57"/>
      <c r="C23" s="49" t="s">
        <v>346</v>
      </c>
      <c r="D23" s="34"/>
      <c r="E23" s="35"/>
      <c r="F23" s="58">
        <v>0</v>
      </c>
      <c r="G23" s="36"/>
      <c r="H23" s="36"/>
      <c r="J23" s="23"/>
      <c r="K23" s="23"/>
      <c r="L23" s="23"/>
      <c r="M23" s="20"/>
      <c r="N23" s="20"/>
      <c r="O23" s="20"/>
      <c r="P23" s="20"/>
      <c r="Q23" s="20"/>
      <c r="R23" s="20"/>
      <c r="S23" s="20"/>
      <c r="T23" s="20"/>
      <c r="U23" s="20"/>
      <c r="V23" s="20"/>
      <c r="W23" s="20"/>
      <c r="X23" s="20"/>
      <c r="Y23" s="20"/>
      <c r="Z23" s="20"/>
      <c r="AA23" s="20"/>
      <c r="AB23" s="20"/>
    </row>
    <row r="24" spans="1:28" ht="15.95" customHeight="1" x14ac:dyDescent="0.15">
      <c r="A24" s="59"/>
      <c r="B24" s="349" t="s">
        <v>361</v>
      </c>
      <c r="C24" s="350"/>
      <c r="D24" s="39"/>
      <c r="E24" s="40"/>
      <c r="F24" s="51"/>
      <c r="G24" s="42"/>
      <c r="H24" s="42"/>
      <c r="I24" s="60"/>
      <c r="J24" s="23"/>
      <c r="K24" s="23"/>
      <c r="L24" s="23"/>
      <c r="M24" s="20"/>
      <c r="N24" s="20"/>
      <c r="O24" s="20"/>
      <c r="P24" s="20"/>
      <c r="Q24" s="20"/>
      <c r="R24" s="20"/>
      <c r="S24" s="20"/>
      <c r="T24" s="20"/>
      <c r="U24" s="20"/>
      <c r="V24" s="20"/>
      <c r="W24" s="20"/>
      <c r="X24" s="20"/>
      <c r="Y24" s="20"/>
      <c r="Z24" s="20"/>
      <c r="AA24" s="20"/>
      <c r="AB24" s="20"/>
    </row>
    <row r="25" spans="1:28" ht="15.95" customHeight="1" x14ac:dyDescent="0.15">
      <c r="A25" s="61" t="s">
        <v>362</v>
      </c>
      <c r="B25" s="62"/>
      <c r="C25" s="63"/>
      <c r="D25" s="39"/>
      <c r="E25" s="40" t="s">
        <v>363</v>
      </c>
      <c r="F25" s="51" t="e">
        <f>IF(#REF!=" "," ",#REF!)</f>
        <v>#REF!</v>
      </c>
      <c r="G25" s="42" t="s">
        <v>349</v>
      </c>
      <c r="H25" s="42"/>
      <c r="I25" s="60"/>
      <c r="J25" s="23"/>
      <c r="K25" s="23"/>
      <c r="L25" s="23"/>
      <c r="M25" s="20"/>
      <c r="N25" s="20"/>
      <c r="O25" s="20"/>
      <c r="P25" s="20"/>
      <c r="Q25" s="20"/>
      <c r="R25" s="20"/>
      <c r="S25" s="20"/>
      <c r="T25" s="20"/>
      <c r="U25" s="20"/>
      <c r="V25" s="20"/>
      <c r="W25" s="20"/>
      <c r="X25" s="20"/>
      <c r="Y25" s="20"/>
      <c r="Z25" s="20"/>
      <c r="AA25" s="20"/>
      <c r="AB25" s="20"/>
    </row>
    <row r="26" spans="1:28" ht="15.95" customHeight="1" x14ac:dyDescent="0.15">
      <c r="A26" s="61" t="s">
        <v>364</v>
      </c>
      <c r="B26" s="62"/>
      <c r="C26" s="63"/>
      <c r="D26" s="39"/>
      <c r="E26" s="40" t="s">
        <v>365</v>
      </c>
      <c r="F26" s="51" t="e">
        <f>IF(#REF!=" "," ",#REF!)</f>
        <v>#REF!</v>
      </c>
      <c r="G26" s="42" t="s">
        <v>349</v>
      </c>
      <c r="H26" s="42"/>
      <c r="I26" s="60"/>
      <c r="J26" s="23"/>
      <c r="K26" s="23"/>
      <c r="L26" s="23"/>
      <c r="M26" s="20"/>
      <c r="N26" s="20"/>
      <c r="O26" s="20"/>
      <c r="P26" s="20"/>
      <c r="Q26" s="20"/>
      <c r="R26" s="20"/>
      <c r="S26" s="20"/>
      <c r="T26" s="20"/>
      <c r="U26" s="20"/>
      <c r="V26" s="20"/>
      <c r="W26" s="20"/>
      <c r="X26" s="20"/>
      <c r="Y26" s="20"/>
      <c r="Z26" s="20"/>
      <c r="AA26" s="20"/>
      <c r="AB26" s="20"/>
    </row>
    <row r="27" spans="1:28" ht="15.95" hidden="1" customHeight="1" thickBot="1" x14ac:dyDescent="0.15">
      <c r="A27" s="61" t="s">
        <v>366</v>
      </c>
      <c r="B27" s="62"/>
      <c r="C27" s="63"/>
      <c r="D27" s="64"/>
      <c r="E27" s="65" t="s">
        <v>367</v>
      </c>
      <c r="F27" s="51">
        <v>0</v>
      </c>
      <c r="G27" s="42"/>
      <c r="H27" s="42"/>
      <c r="I27" s="60"/>
      <c r="J27" s="23"/>
      <c r="K27" s="23"/>
      <c r="L27" s="23"/>
      <c r="M27" s="20"/>
      <c r="N27" s="20"/>
      <c r="O27" s="20"/>
      <c r="P27" s="20"/>
      <c r="Q27" s="20"/>
      <c r="R27" s="20"/>
      <c r="S27" s="20"/>
      <c r="T27" s="20"/>
      <c r="U27" s="20"/>
      <c r="V27" s="20"/>
      <c r="W27" s="20"/>
      <c r="X27" s="20"/>
      <c r="Y27" s="20"/>
      <c r="Z27" s="20"/>
      <c r="AA27" s="20"/>
      <c r="AB27" s="20"/>
    </row>
    <row r="28" spans="1:28" ht="15.95" customHeight="1" x14ac:dyDescent="0.15">
      <c r="A28" s="61" t="s">
        <v>684</v>
      </c>
      <c r="B28" s="62"/>
      <c r="C28" s="63"/>
      <c r="D28" s="39"/>
      <c r="E28" s="40"/>
      <c r="F28" s="51">
        <v>0</v>
      </c>
      <c r="G28" s="42"/>
      <c r="H28" s="42"/>
      <c r="I28" s="60"/>
      <c r="J28" s="23"/>
      <c r="K28" s="23"/>
      <c r="L28" s="23"/>
      <c r="M28" s="20"/>
      <c r="N28" s="20"/>
      <c r="O28" s="20"/>
      <c r="P28" s="20"/>
      <c r="Q28" s="20"/>
      <c r="R28" s="20"/>
      <c r="S28" s="20"/>
      <c r="T28" s="20"/>
      <c r="U28" s="20"/>
      <c r="V28" s="20"/>
      <c r="W28" s="20"/>
      <c r="X28" s="20"/>
      <c r="Y28" s="20"/>
      <c r="Z28" s="20"/>
      <c r="AA28" s="20"/>
      <c r="AB28" s="20"/>
    </row>
    <row r="29" spans="1:28" ht="15.95" customHeight="1" x14ac:dyDescent="0.15">
      <c r="A29" s="61" t="e">
        <f>#REF!</f>
        <v>#REF!</v>
      </c>
      <c r="B29" s="62"/>
      <c r="C29" s="63"/>
      <c r="D29" s="39"/>
      <c r="E29" s="40">
        <f>IF(D29=0,0,#REF!)</f>
        <v>0</v>
      </c>
      <c r="F29" s="51"/>
      <c r="G29" s="42"/>
      <c r="H29" s="42"/>
      <c r="I29" s="60"/>
      <c r="J29" s="23"/>
      <c r="K29" s="23"/>
      <c r="L29" s="23"/>
      <c r="M29" s="20"/>
      <c r="N29" s="20"/>
      <c r="O29" s="20"/>
      <c r="P29" s="20"/>
      <c r="Q29" s="20"/>
      <c r="R29" s="20"/>
      <c r="S29" s="20"/>
      <c r="T29" s="20"/>
      <c r="U29" s="20"/>
      <c r="V29" s="20"/>
      <c r="W29" s="20"/>
      <c r="X29" s="20"/>
      <c r="Y29" s="20"/>
      <c r="Z29" s="20"/>
      <c r="AA29" s="20"/>
      <c r="AB29" s="20"/>
    </row>
    <row r="30" spans="1:28" ht="15.95" customHeight="1" x14ac:dyDescent="0.15">
      <c r="A30" s="61" t="s">
        <v>368</v>
      </c>
      <c r="B30" s="62"/>
      <c r="C30" s="63"/>
      <c r="D30" s="39"/>
      <c r="E30" s="40" t="e">
        <f>IF(#REF!=3,"(총원가+소방배상책임공제) 의",IF(#REF!=1,"(총원가+손해배상공제료) 의","(총원가) 의"))</f>
        <v>#REF!</v>
      </c>
      <c r="F30" s="51" t="e">
        <f>IF(#REF!=" "," ",#REF!)</f>
        <v>#REF!</v>
      </c>
      <c r="G30" s="42" t="s">
        <v>369</v>
      </c>
      <c r="H30" s="42"/>
      <c r="I30" s="60"/>
      <c r="J30" s="23"/>
      <c r="K30" s="23"/>
      <c r="L30" s="23"/>
      <c r="M30" s="20"/>
      <c r="N30" s="20"/>
      <c r="O30" s="20"/>
      <c r="P30" s="20"/>
      <c r="Q30" s="20"/>
      <c r="R30" s="20"/>
      <c r="S30" s="20"/>
      <c r="T30" s="20"/>
      <c r="U30" s="20"/>
      <c r="V30" s="20"/>
      <c r="W30" s="20"/>
      <c r="X30" s="20"/>
      <c r="Y30" s="20"/>
      <c r="Z30" s="20"/>
      <c r="AA30" s="20"/>
      <c r="AB30" s="20"/>
    </row>
    <row r="31" spans="1:28" ht="15" customHeight="1" x14ac:dyDescent="0.15">
      <c r="A31" s="61" t="s">
        <v>371</v>
      </c>
      <c r="B31" s="62"/>
      <c r="C31" s="63"/>
      <c r="D31" s="39"/>
      <c r="E31" s="40"/>
      <c r="F31" s="51"/>
      <c r="G31" s="42"/>
      <c r="H31" s="42" t="s">
        <v>372</v>
      </c>
      <c r="I31" s="60"/>
      <c r="J31" s="23"/>
      <c r="K31" s="23"/>
      <c r="L31" s="23"/>
      <c r="M31" s="20"/>
      <c r="N31" s="20"/>
      <c r="O31" s="20"/>
      <c r="P31" s="20"/>
      <c r="Q31" s="20"/>
      <c r="R31" s="20"/>
      <c r="S31" s="20"/>
      <c r="T31" s="20"/>
      <c r="U31" s="20"/>
      <c r="V31" s="20"/>
      <c r="W31" s="20"/>
      <c r="X31" s="20"/>
      <c r="Y31" s="20"/>
      <c r="Z31" s="20"/>
      <c r="AA31" s="20"/>
      <c r="AB31" s="20"/>
    </row>
    <row r="32" spans="1:28" ht="15" customHeight="1" x14ac:dyDescent="0.15">
      <c r="A32" s="343" t="s">
        <v>373</v>
      </c>
      <c r="B32" s="344"/>
      <c r="C32" s="63" t="s">
        <v>374</v>
      </c>
      <c r="D32" s="39">
        <f>공종별집계표!F13</f>
        <v>14889000</v>
      </c>
      <c r="E32" s="40"/>
      <c r="F32" s="51"/>
      <c r="G32" s="42"/>
      <c r="H32" s="42"/>
      <c r="I32" s="60"/>
      <c r="J32" s="23"/>
      <c r="K32" s="23"/>
      <c r="L32" s="23"/>
      <c r="M32" s="20"/>
      <c r="N32" s="20"/>
      <c r="O32" s="20"/>
      <c r="P32" s="20"/>
      <c r="Q32" s="20"/>
      <c r="R32" s="20"/>
      <c r="S32" s="20"/>
      <c r="T32" s="20"/>
      <c r="U32" s="20"/>
      <c r="V32" s="20"/>
      <c r="W32" s="20"/>
      <c r="X32" s="20"/>
      <c r="Y32" s="20"/>
      <c r="Z32" s="20"/>
      <c r="AA32" s="20"/>
      <c r="AB32" s="20"/>
    </row>
    <row r="33" spans="1:28" ht="15" customHeight="1" x14ac:dyDescent="0.15">
      <c r="A33" s="345"/>
      <c r="B33" s="346"/>
      <c r="C33" s="63" t="s">
        <v>375</v>
      </c>
      <c r="D33" s="39">
        <f>공종별집계표!F16</f>
        <v>12510000</v>
      </c>
      <c r="E33" s="40"/>
      <c r="F33" s="51"/>
      <c r="G33" s="42"/>
      <c r="H33" s="42"/>
      <c r="I33" s="60"/>
      <c r="J33" s="23"/>
      <c r="K33" s="23"/>
      <c r="L33" s="23"/>
      <c r="M33" s="20"/>
      <c r="N33" s="20"/>
      <c r="O33" s="20"/>
      <c r="P33" s="20"/>
      <c r="Q33" s="20"/>
      <c r="R33" s="20"/>
      <c r="S33" s="20"/>
      <c r="T33" s="20"/>
      <c r="U33" s="20"/>
      <c r="V33" s="20"/>
      <c r="W33" s="20"/>
      <c r="X33" s="20"/>
      <c r="Y33" s="20"/>
      <c r="Z33" s="20"/>
      <c r="AA33" s="20"/>
      <c r="AB33" s="20"/>
    </row>
    <row r="34" spans="1:28" ht="15.95" customHeight="1" x14ac:dyDescent="0.15">
      <c r="A34" s="347"/>
      <c r="B34" s="348"/>
      <c r="C34" s="49" t="s">
        <v>339</v>
      </c>
      <c r="D34" s="39">
        <f>SUM(D32:D33)</f>
        <v>27399000</v>
      </c>
      <c r="E34" s="40"/>
      <c r="F34" s="51"/>
      <c r="G34" s="42"/>
      <c r="H34" s="42"/>
      <c r="I34" s="60"/>
      <c r="J34" s="23"/>
      <c r="K34" s="23"/>
      <c r="L34" s="23"/>
      <c r="M34" s="20"/>
      <c r="N34" s="20"/>
      <c r="O34" s="20"/>
      <c r="P34" s="20"/>
      <c r="Q34" s="20"/>
      <c r="R34" s="20"/>
      <c r="S34" s="20"/>
      <c r="T34" s="20"/>
      <c r="U34" s="20"/>
      <c r="V34" s="20"/>
      <c r="W34" s="20"/>
      <c r="X34" s="20"/>
      <c r="Y34" s="20"/>
      <c r="Z34" s="20"/>
      <c r="AA34" s="20"/>
      <c r="AB34" s="20"/>
    </row>
    <row r="35" spans="1:28" ht="15.95" customHeight="1" x14ac:dyDescent="0.15">
      <c r="A35" s="343" t="s">
        <v>376</v>
      </c>
      <c r="B35" s="344"/>
      <c r="C35" s="63" t="e">
        <f>IF(#REF!=0,0,#REF!)</f>
        <v>#REF!</v>
      </c>
      <c r="D35" s="39"/>
      <c r="E35" s="66"/>
      <c r="F35" s="51"/>
      <c r="G35" s="42"/>
      <c r="H35" s="42"/>
      <c r="I35" s="60"/>
      <c r="J35" s="23"/>
      <c r="K35" s="23"/>
      <c r="L35" s="23"/>
      <c r="M35" s="20"/>
      <c r="N35" s="20"/>
      <c r="O35" s="20"/>
      <c r="P35" s="20"/>
      <c r="Q35" s="20"/>
      <c r="R35" s="20"/>
      <c r="S35" s="20"/>
      <c r="T35" s="20"/>
      <c r="U35" s="20"/>
      <c r="V35" s="20"/>
      <c r="W35" s="20"/>
      <c r="X35" s="20"/>
      <c r="Y35" s="20"/>
      <c r="Z35" s="20"/>
      <c r="AA35" s="20"/>
      <c r="AB35" s="20"/>
    </row>
    <row r="36" spans="1:28" ht="15.95" customHeight="1" x14ac:dyDescent="0.15">
      <c r="A36" s="345"/>
      <c r="B36" s="346"/>
      <c r="C36" s="63" t="e">
        <f>IF(#REF!=0,0,"재 해 예 방 기 술 지 도")</f>
        <v>#REF!</v>
      </c>
      <c r="D36" s="39"/>
      <c r="E36" s="66"/>
      <c r="F36" s="41"/>
      <c r="G36" s="42"/>
      <c r="H36" s="42"/>
      <c r="I36" s="60"/>
      <c r="J36" s="23"/>
      <c r="K36" s="23"/>
      <c r="L36" s="23"/>
      <c r="M36" s="20"/>
      <c r="N36" s="20"/>
      <c r="O36" s="20"/>
      <c r="P36" s="20"/>
      <c r="Q36" s="20"/>
      <c r="R36" s="20"/>
      <c r="S36" s="20"/>
      <c r="T36" s="20"/>
      <c r="U36" s="20"/>
      <c r="V36" s="20"/>
      <c r="W36" s="20"/>
      <c r="X36" s="20"/>
      <c r="Y36" s="20"/>
      <c r="Z36" s="20"/>
      <c r="AA36" s="20"/>
      <c r="AB36" s="20"/>
    </row>
    <row r="37" spans="1:28" ht="15.95" customHeight="1" x14ac:dyDescent="0.15">
      <c r="A37" s="347"/>
      <c r="B37" s="348"/>
      <c r="C37" s="49" t="s">
        <v>339</v>
      </c>
      <c r="D37" s="39">
        <f>D35+D36</f>
        <v>0</v>
      </c>
      <c r="E37" s="40"/>
      <c r="F37" s="41"/>
      <c r="G37" s="42"/>
      <c r="H37" s="42"/>
      <c r="J37" s="23"/>
      <c r="K37" s="23"/>
      <c r="L37" s="23"/>
      <c r="M37" s="20"/>
      <c r="N37" s="20"/>
      <c r="O37" s="20"/>
      <c r="P37" s="20"/>
      <c r="Q37" s="20"/>
      <c r="R37" s="20"/>
      <c r="S37" s="20"/>
      <c r="T37" s="20"/>
      <c r="U37" s="20"/>
      <c r="V37" s="20"/>
      <c r="W37" s="20"/>
      <c r="X37" s="20"/>
      <c r="Y37" s="20"/>
      <c r="Z37" s="20"/>
      <c r="AA37" s="20"/>
      <c r="AB37" s="20"/>
    </row>
    <row r="38" spans="1:28" ht="15.95" customHeight="1" x14ac:dyDescent="0.15">
      <c r="A38" s="61" t="s">
        <v>377</v>
      </c>
      <c r="B38" s="62"/>
      <c r="C38" s="63"/>
      <c r="D38" s="39">
        <f>INT(SUM(D31,D34,D37))</f>
        <v>27399000</v>
      </c>
      <c r="E38" s="40"/>
      <c r="F38" s="41"/>
      <c r="G38" s="42"/>
      <c r="H38" s="42"/>
      <c r="J38" s="20"/>
      <c r="K38" s="20"/>
      <c r="L38" s="23"/>
      <c r="M38" s="20"/>
      <c r="N38" s="20"/>
      <c r="O38" s="20"/>
      <c r="P38" s="20"/>
      <c r="Q38" s="20"/>
      <c r="R38" s="20"/>
      <c r="S38" s="20"/>
      <c r="T38" s="20"/>
      <c r="U38" s="20"/>
      <c r="V38" s="20"/>
      <c r="W38" s="20"/>
      <c r="X38" s="20"/>
      <c r="Y38" s="20"/>
      <c r="Z38" s="20"/>
      <c r="AA38" s="20"/>
      <c r="AB38" s="20"/>
    </row>
    <row r="39" spans="1:28" ht="15.95" customHeight="1" x14ac:dyDescent="0.15">
      <c r="A39" s="23"/>
      <c r="J39" s="20"/>
      <c r="K39" s="20"/>
      <c r="L39" s="20"/>
      <c r="M39" s="20"/>
      <c r="N39" s="20"/>
      <c r="O39" s="20"/>
      <c r="P39" s="20"/>
      <c r="Q39" s="20"/>
      <c r="R39" s="20"/>
      <c r="S39" s="20"/>
      <c r="T39" s="20"/>
      <c r="U39" s="20"/>
      <c r="V39" s="20"/>
      <c r="W39" s="20"/>
      <c r="X39" s="20"/>
      <c r="Y39" s="20"/>
      <c r="Z39" s="20"/>
      <c r="AA39" s="20"/>
      <c r="AB39" s="20"/>
    </row>
    <row r="40" spans="1:28" ht="15.95" customHeight="1" x14ac:dyDescent="0.15">
      <c r="A40" s="23"/>
      <c r="J40" s="20"/>
      <c r="K40" s="20"/>
      <c r="L40" s="20"/>
      <c r="M40" s="20"/>
      <c r="N40" s="20"/>
      <c r="O40" s="20"/>
      <c r="P40" s="20"/>
      <c r="Q40" s="20"/>
      <c r="R40" s="20"/>
      <c r="S40" s="20"/>
      <c r="T40" s="20"/>
      <c r="U40" s="20"/>
      <c r="V40" s="20"/>
      <c r="W40" s="20"/>
      <c r="X40" s="20"/>
      <c r="Y40" s="20"/>
      <c r="Z40" s="20"/>
      <c r="AA40" s="20"/>
      <c r="AB40" s="20"/>
    </row>
    <row r="41" spans="1:28" ht="15.95" customHeight="1" x14ac:dyDescent="0.15">
      <c r="A41" s="23"/>
      <c r="J41" s="20"/>
      <c r="K41" s="20"/>
      <c r="L41" s="20"/>
      <c r="M41" s="20"/>
      <c r="N41" s="20"/>
      <c r="O41" s="20"/>
      <c r="P41" s="20"/>
      <c r="Q41" s="20"/>
      <c r="R41" s="20"/>
      <c r="S41" s="20"/>
      <c r="T41" s="20"/>
      <c r="U41" s="20"/>
      <c r="V41" s="20"/>
      <c r="W41" s="20"/>
      <c r="X41" s="20"/>
      <c r="Y41" s="20"/>
      <c r="Z41" s="20"/>
      <c r="AA41" s="20"/>
      <c r="AB41" s="20"/>
    </row>
    <row r="42" spans="1:28" ht="15.95" customHeight="1" x14ac:dyDescent="0.15">
      <c r="A42" s="23"/>
      <c r="J42" s="20"/>
      <c r="K42" s="20"/>
      <c r="L42" s="20"/>
      <c r="M42" s="20"/>
      <c r="N42" s="20"/>
      <c r="O42" s="20"/>
      <c r="P42" s="20"/>
      <c r="Q42" s="20"/>
      <c r="R42" s="20"/>
      <c r="S42" s="20"/>
      <c r="T42" s="20"/>
      <c r="U42" s="20"/>
      <c r="V42" s="20"/>
      <c r="W42" s="20"/>
      <c r="X42" s="20"/>
      <c r="Y42" s="20"/>
      <c r="Z42" s="20"/>
      <c r="AA42" s="20"/>
      <c r="AB42" s="20"/>
    </row>
    <row r="43" spans="1:28" ht="15.95" customHeight="1" x14ac:dyDescent="0.15">
      <c r="A43" s="23"/>
      <c r="J43" s="20"/>
      <c r="K43" s="20"/>
      <c r="L43" s="20"/>
      <c r="M43" s="20"/>
      <c r="N43" s="20"/>
      <c r="O43" s="20"/>
      <c r="P43" s="20"/>
      <c r="Q43" s="20"/>
      <c r="R43" s="20"/>
      <c r="S43" s="20"/>
      <c r="T43" s="20"/>
      <c r="U43" s="20"/>
      <c r="V43" s="20"/>
      <c r="W43" s="20"/>
      <c r="X43" s="20"/>
      <c r="Y43" s="20"/>
      <c r="Z43" s="20"/>
      <c r="AA43" s="20"/>
      <c r="AB43" s="20"/>
    </row>
    <row r="44" spans="1:28" ht="15.95" customHeight="1" x14ac:dyDescent="0.15">
      <c r="A44" s="23"/>
      <c r="J44" s="20"/>
      <c r="K44" s="20"/>
      <c r="L44" s="20"/>
      <c r="M44" s="20"/>
      <c r="N44" s="20"/>
      <c r="O44" s="20"/>
      <c r="P44" s="20"/>
      <c r="Q44" s="20"/>
      <c r="R44" s="20"/>
      <c r="S44" s="20"/>
      <c r="T44" s="20"/>
      <c r="U44" s="20"/>
      <c r="V44" s="20"/>
      <c r="W44" s="20"/>
      <c r="X44" s="20"/>
      <c r="Y44" s="20"/>
      <c r="Z44" s="20"/>
      <c r="AA44" s="20"/>
      <c r="AB44" s="20"/>
    </row>
    <row r="45" spans="1:28" ht="15.95" customHeight="1" x14ac:dyDescent="0.15">
      <c r="A45" s="23"/>
      <c r="J45" s="20"/>
      <c r="K45" s="20"/>
      <c r="L45" s="20"/>
      <c r="M45" s="20"/>
      <c r="N45" s="20"/>
      <c r="O45" s="20"/>
      <c r="P45" s="20"/>
      <c r="Q45" s="20"/>
      <c r="R45" s="20"/>
      <c r="S45" s="20"/>
      <c r="T45" s="20"/>
      <c r="U45" s="20"/>
      <c r="V45" s="20"/>
      <c r="W45" s="20"/>
      <c r="X45" s="20"/>
      <c r="Y45" s="20"/>
      <c r="Z45" s="20"/>
      <c r="AA45" s="20"/>
      <c r="AB45" s="20"/>
    </row>
    <row r="46" spans="1:28" ht="15.95" customHeight="1" x14ac:dyDescent="0.15">
      <c r="A46" s="23"/>
      <c r="J46" s="20"/>
      <c r="K46" s="20"/>
      <c r="L46" s="20"/>
      <c r="M46" s="20"/>
      <c r="N46" s="20"/>
      <c r="O46" s="20"/>
      <c r="P46" s="20"/>
      <c r="Q46" s="20"/>
      <c r="R46" s="20"/>
      <c r="S46" s="20"/>
      <c r="T46" s="20"/>
      <c r="U46" s="20"/>
      <c r="V46" s="20"/>
      <c r="W46" s="20"/>
      <c r="X46" s="20"/>
      <c r="Y46" s="20"/>
      <c r="Z46" s="20"/>
      <c r="AA46" s="20"/>
      <c r="AB46" s="20"/>
    </row>
    <row r="47" spans="1:28" ht="15.95" customHeight="1" x14ac:dyDescent="0.15">
      <c r="A47" s="23"/>
      <c r="J47" s="20"/>
      <c r="K47" s="20"/>
      <c r="L47" s="20"/>
      <c r="M47" s="20"/>
      <c r="N47" s="20"/>
      <c r="O47" s="20"/>
      <c r="P47" s="20"/>
      <c r="Q47" s="20"/>
      <c r="R47" s="20"/>
      <c r="S47" s="20"/>
      <c r="T47" s="20"/>
      <c r="U47" s="20"/>
      <c r="V47" s="20"/>
      <c r="W47" s="20"/>
      <c r="X47" s="20"/>
      <c r="Y47" s="20"/>
      <c r="Z47" s="20"/>
      <c r="AA47" s="20"/>
      <c r="AB47" s="20"/>
    </row>
    <row r="48" spans="1:28" ht="15.95" customHeight="1" x14ac:dyDescent="0.15">
      <c r="A48" s="23"/>
      <c r="J48" s="20"/>
      <c r="K48" s="20"/>
      <c r="L48" s="20"/>
      <c r="M48" s="20"/>
      <c r="N48" s="20"/>
      <c r="O48" s="20"/>
      <c r="P48" s="20"/>
      <c r="Q48" s="20"/>
      <c r="R48" s="20"/>
      <c r="S48" s="20"/>
      <c r="T48" s="20"/>
      <c r="U48" s="20"/>
      <c r="V48" s="20"/>
      <c r="W48" s="20"/>
      <c r="X48" s="20"/>
      <c r="Y48" s="20"/>
      <c r="Z48" s="20"/>
      <c r="AA48" s="20"/>
      <c r="AB48" s="20"/>
    </row>
    <row r="49" spans="1:28" ht="15.95" customHeight="1" x14ac:dyDescent="0.15">
      <c r="A49" s="23"/>
      <c r="J49" s="20"/>
      <c r="K49" s="20"/>
      <c r="L49" s="20"/>
      <c r="M49" s="20"/>
      <c r="N49" s="20"/>
      <c r="O49" s="20"/>
      <c r="P49" s="20"/>
      <c r="Q49" s="20"/>
      <c r="R49" s="20"/>
      <c r="S49" s="20"/>
      <c r="T49" s="20"/>
      <c r="U49" s="20"/>
      <c r="V49" s="20"/>
      <c r="W49" s="20"/>
      <c r="X49" s="20"/>
      <c r="Y49" s="20"/>
      <c r="Z49" s="20"/>
      <c r="AA49" s="20"/>
      <c r="AB49" s="20"/>
    </row>
    <row r="50" spans="1:28" ht="15.95" customHeight="1" x14ac:dyDescent="0.15">
      <c r="A50" s="21"/>
      <c r="J50" s="20"/>
      <c r="K50" s="20"/>
      <c r="L50" s="20"/>
      <c r="M50" s="20"/>
      <c r="N50" s="20"/>
      <c r="O50" s="20"/>
      <c r="P50" s="20"/>
      <c r="Q50" s="20"/>
      <c r="R50" s="20"/>
      <c r="S50" s="20"/>
      <c r="T50" s="20"/>
      <c r="U50" s="20"/>
      <c r="V50" s="20"/>
      <c r="W50" s="20"/>
      <c r="X50" s="20"/>
      <c r="Y50" s="20"/>
      <c r="Z50" s="20"/>
      <c r="AA50" s="20"/>
      <c r="AB50" s="20"/>
    </row>
    <row r="51" spans="1:28" ht="15.95" customHeight="1" x14ac:dyDescent="0.15">
      <c r="A51" s="21"/>
      <c r="J51" s="20"/>
      <c r="K51" s="20"/>
      <c r="L51" s="20"/>
      <c r="M51" s="20"/>
      <c r="N51" s="20"/>
      <c r="O51" s="20"/>
      <c r="P51" s="20"/>
      <c r="Q51" s="20"/>
      <c r="R51" s="20"/>
      <c r="S51" s="20"/>
      <c r="T51" s="20"/>
      <c r="U51" s="20"/>
      <c r="V51" s="20"/>
      <c r="W51" s="20"/>
      <c r="X51" s="20"/>
      <c r="Y51" s="20"/>
      <c r="Z51" s="20"/>
      <c r="AA51" s="20"/>
      <c r="AB51" s="20"/>
    </row>
    <row r="52" spans="1:28" ht="15.95" customHeight="1" x14ac:dyDescent="0.15">
      <c r="A52" s="21"/>
      <c r="J52" s="20"/>
      <c r="K52" s="20"/>
      <c r="L52" s="20"/>
      <c r="M52" s="20"/>
      <c r="N52" s="20"/>
      <c r="O52" s="20"/>
      <c r="P52" s="20"/>
      <c r="Q52" s="20"/>
      <c r="R52" s="20"/>
      <c r="S52" s="20"/>
      <c r="T52" s="20"/>
      <c r="U52" s="20"/>
      <c r="V52" s="20"/>
      <c r="W52" s="20"/>
      <c r="X52" s="20"/>
      <c r="Y52" s="20"/>
      <c r="Z52" s="20"/>
      <c r="AA52" s="20"/>
      <c r="AB52" s="20"/>
    </row>
    <row r="53" spans="1:28" ht="15.95" customHeight="1" x14ac:dyDescent="0.15">
      <c r="A53" s="21"/>
      <c r="J53" s="20"/>
      <c r="K53" s="20"/>
      <c r="L53" s="20"/>
      <c r="M53" s="20"/>
      <c r="N53" s="20"/>
      <c r="O53" s="20"/>
      <c r="P53" s="20"/>
      <c r="Q53" s="20"/>
      <c r="R53" s="20"/>
      <c r="S53" s="20"/>
      <c r="T53" s="20"/>
      <c r="U53" s="20"/>
      <c r="V53" s="20"/>
      <c r="W53" s="20"/>
      <c r="X53" s="20"/>
      <c r="Y53" s="20"/>
      <c r="Z53" s="20"/>
      <c r="AA53" s="20"/>
      <c r="AB53" s="20"/>
    </row>
    <row r="54" spans="1:28" ht="15.95" customHeight="1" x14ac:dyDescent="0.15">
      <c r="A54" s="21"/>
      <c r="J54" s="20"/>
      <c r="K54" s="20"/>
      <c r="L54" s="20"/>
      <c r="M54" s="20"/>
      <c r="N54" s="20"/>
      <c r="O54" s="20"/>
      <c r="P54" s="20"/>
      <c r="Q54" s="20"/>
      <c r="R54" s="20"/>
      <c r="S54" s="20"/>
      <c r="T54" s="20"/>
      <c r="U54" s="20"/>
      <c r="V54" s="20"/>
      <c r="W54" s="20"/>
      <c r="X54" s="20"/>
      <c r="Y54" s="20"/>
      <c r="Z54" s="20"/>
      <c r="AA54" s="20"/>
      <c r="AB54" s="20"/>
    </row>
    <row r="55" spans="1:28" ht="15.95" customHeight="1" x14ac:dyDescent="0.15">
      <c r="A55" s="21"/>
      <c r="J55" s="20"/>
      <c r="K55" s="20"/>
      <c r="L55" s="20"/>
      <c r="M55" s="20"/>
      <c r="N55" s="20"/>
      <c r="O55" s="20"/>
      <c r="P55" s="20"/>
      <c r="Q55" s="20"/>
      <c r="R55" s="20"/>
      <c r="S55" s="20"/>
      <c r="T55" s="20"/>
      <c r="U55" s="20"/>
      <c r="V55" s="20"/>
      <c r="W55" s="20"/>
      <c r="X55" s="20"/>
      <c r="Y55" s="20"/>
      <c r="Z55" s="20"/>
      <c r="AA55" s="20"/>
      <c r="AB55" s="20"/>
    </row>
    <row r="56" spans="1:28" ht="15.95" customHeight="1" x14ac:dyDescent="0.15">
      <c r="A56" s="23"/>
      <c r="J56" s="20"/>
      <c r="K56" s="20"/>
      <c r="L56" s="20"/>
      <c r="M56" s="20"/>
      <c r="N56" s="20"/>
      <c r="O56" s="20"/>
      <c r="P56" s="20"/>
      <c r="Q56" s="20"/>
      <c r="R56" s="20"/>
      <c r="S56" s="20"/>
      <c r="T56" s="20"/>
      <c r="U56" s="20"/>
      <c r="V56" s="20"/>
      <c r="W56" s="20"/>
      <c r="X56" s="20"/>
      <c r="Y56" s="20"/>
      <c r="Z56" s="20"/>
      <c r="AA56" s="20"/>
      <c r="AB56" s="20"/>
    </row>
    <row r="57" spans="1:28" ht="15.95" customHeight="1" x14ac:dyDescent="0.15">
      <c r="A57" s="23"/>
      <c r="J57" s="20"/>
      <c r="K57" s="20"/>
      <c r="L57" s="20"/>
      <c r="M57" s="20"/>
      <c r="N57" s="20"/>
      <c r="O57" s="20"/>
      <c r="P57" s="20"/>
      <c r="Q57" s="20"/>
      <c r="R57" s="20"/>
      <c r="S57" s="20"/>
      <c r="T57" s="20"/>
      <c r="U57" s="20"/>
      <c r="V57" s="20"/>
      <c r="W57" s="20"/>
      <c r="X57" s="20"/>
      <c r="Y57" s="20"/>
      <c r="Z57" s="20"/>
      <c r="AA57" s="20"/>
      <c r="AB57" s="20"/>
    </row>
    <row r="58" spans="1:28" ht="15.95" customHeight="1" x14ac:dyDescent="0.15">
      <c r="A58" s="23"/>
      <c r="J58" s="20"/>
      <c r="K58" s="20"/>
      <c r="L58" s="20"/>
      <c r="M58" s="20"/>
      <c r="N58" s="20"/>
      <c r="O58" s="20"/>
      <c r="P58" s="20"/>
      <c r="Q58" s="20"/>
      <c r="R58" s="20"/>
      <c r="S58" s="20"/>
      <c r="T58" s="20"/>
      <c r="U58" s="20"/>
      <c r="V58" s="20"/>
      <c r="W58" s="20"/>
      <c r="X58" s="20"/>
      <c r="Y58" s="20"/>
      <c r="Z58" s="20"/>
      <c r="AA58" s="20"/>
      <c r="AB58" s="20"/>
    </row>
    <row r="59" spans="1:28" ht="15.95" customHeight="1" x14ac:dyDescent="0.15">
      <c r="A59" s="23"/>
      <c r="J59" s="20"/>
      <c r="K59" s="20"/>
      <c r="L59" s="20"/>
      <c r="M59" s="20"/>
      <c r="N59" s="20"/>
      <c r="O59" s="20"/>
      <c r="P59" s="20"/>
      <c r="Q59" s="20"/>
      <c r="R59" s="20"/>
      <c r="S59" s="20"/>
      <c r="T59" s="20"/>
      <c r="U59" s="20"/>
      <c r="V59" s="20"/>
      <c r="W59" s="20"/>
      <c r="X59" s="20"/>
      <c r="Y59" s="20"/>
      <c r="Z59" s="20"/>
      <c r="AA59" s="20"/>
      <c r="AB59" s="20"/>
    </row>
    <row r="60" spans="1:28" ht="15.95" customHeight="1" x14ac:dyDescent="0.15">
      <c r="A60" s="23"/>
      <c r="J60" s="20"/>
      <c r="K60" s="20"/>
      <c r="L60" s="20"/>
      <c r="M60" s="20"/>
      <c r="N60" s="20"/>
      <c r="O60" s="20"/>
      <c r="P60" s="20"/>
      <c r="Q60" s="20"/>
      <c r="R60" s="20"/>
      <c r="S60" s="20"/>
      <c r="T60" s="20"/>
      <c r="U60" s="20"/>
      <c r="V60" s="20"/>
      <c r="W60" s="20"/>
      <c r="X60" s="20"/>
      <c r="Y60" s="20"/>
      <c r="Z60" s="20"/>
      <c r="AA60" s="20"/>
      <c r="AB60" s="20"/>
    </row>
    <row r="61" spans="1:28" ht="20.100000000000001" customHeight="1" x14ac:dyDescent="0.15">
      <c r="A61" s="23"/>
      <c r="J61" s="20"/>
      <c r="K61" s="20"/>
      <c r="L61" s="20"/>
      <c r="M61" s="20"/>
      <c r="N61" s="20"/>
      <c r="O61" s="20"/>
      <c r="P61" s="20"/>
      <c r="Q61" s="20"/>
      <c r="R61" s="20"/>
      <c r="S61" s="20"/>
      <c r="T61" s="20"/>
      <c r="U61" s="20"/>
      <c r="V61" s="20"/>
      <c r="W61" s="20"/>
      <c r="X61" s="20"/>
      <c r="Y61" s="20"/>
      <c r="Z61" s="20"/>
      <c r="AA61" s="20"/>
      <c r="AB61" s="20"/>
    </row>
    <row r="62" spans="1:28" ht="20.100000000000001" customHeight="1" x14ac:dyDescent="0.15">
      <c r="A62" s="23"/>
      <c r="J62" s="20"/>
      <c r="K62" s="20"/>
      <c r="L62" s="20"/>
      <c r="M62" s="20"/>
      <c r="N62" s="20"/>
      <c r="O62" s="20"/>
      <c r="P62" s="20"/>
      <c r="Q62" s="20"/>
      <c r="R62" s="20"/>
      <c r="S62" s="20"/>
      <c r="T62" s="20"/>
      <c r="U62" s="20"/>
      <c r="V62" s="20"/>
      <c r="W62" s="20"/>
      <c r="X62" s="20"/>
      <c r="Y62" s="20"/>
      <c r="Z62" s="20"/>
      <c r="AA62" s="20"/>
      <c r="AB62" s="20"/>
    </row>
    <row r="63" spans="1:28" ht="20.100000000000001" customHeight="1" x14ac:dyDescent="0.15">
      <c r="A63" s="23"/>
      <c r="J63" s="20"/>
      <c r="K63" s="20"/>
      <c r="L63" s="20"/>
      <c r="M63" s="20"/>
      <c r="N63" s="20"/>
      <c r="O63" s="20"/>
      <c r="P63" s="20"/>
      <c r="Q63" s="20"/>
      <c r="R63" s="20"/>
      <c r="S63" s="20"/>
      <c r="T63" s="20"/>
      <c r="U63" s="20"/>
      <c r="V63" s="20"/>
      <c r="W63" s="20"/>
      <c r="X63" s="20"/>
      <c r="Y63" s="20"/>
      <c r="Z63" s="20"/>
      <c r="AA63" s="20"/>
      <c r="AB63" s="20"/>
    </row>
    <row r="64" spans="1:28" ht="20.100000000000001" customHeight="1" x14ac:dyDescent="0.15">
      <c r="A64" s="23"/>
      <c r="J64" s="20"/>
      <c r="K64" s="20"/>
      <c r="L64" s="20"/>
      <c r="M64" s="20"/>
      <c r="N64" s="20"/>
      <c r="O64" s="20"/>
      <c r="P64" s="20"/>
      <c r="Q64" s="20"/>
      <c r="R64" s="20"/>
      <c r="S64" s="20"/>
      <c r="T64" s="20"/>
      <c r="U64" s="20"/>
      <c r="V64" s="20"/>
      <c r="W64" s="20"/>
      <c r="X64" s="20"/>
      <c r="Y64" s="20"/>
      <c r="Z64" s="20"/>
      <c r="AA64" s="20"/>
      <c r="AB64" s="20"/>
    </row>
    <row r="65" spans="1:28" ht="20.100000000000001" customHeight="1" x14ac:dyDescent="0.15">
      <c r="A65" s="23"/>
      <c r="J65" s="20"/>
      <c r="K65" s="20"/>
      <c r="L65" s="20"/>
      <c r="M65" s="20"/>
      <c r="N65" s="20"/>
      <c r="O65" s="20"/>
      <c r="P65" s="20"/>
      <c r="Q65" s="20"/>
      <c r="R65" s="20"/>
      <c r="S65" s="20"/>
      <c r="T65" s="20"/>
      <c r="U65" s="20"/>
      <c r="V65" s="20"/>
      <c r="W65" s="20"/>
      <c r="X65" s="20"/>
      <c r="Y65" s="20"/>
      <c r="Z65" s="20"/>
      <c r="AA65" s="20"/>
      <c r="AB65" s="20"/>
    </row>
    <row r="66" spans="1:28" ht="20.100000000000001" customHeight="1" x14ac:dyDescent="0.15">
      <c r="A66" s="23"/>
      <c r="J66" s="20"/>
      <c r="K66" s="20"/>
      <c r="L66" s="20"/>
      <c r="M66" s="20"/>
      <c r="N66" s="20"/>
      <c r="O66" s="20"/>
      <c r="P66" s="20"/>
      <c r="Q66" s="20"/>
      <c r="R66" s="20"/>
      <c r="S66" s="20"/>
      <c r="T66" s="20"/>
      <c r="U66" s="20"/>
      <c r="V66" s="20"/>
      <c r="W66" s="20"/>
      <c r="X66" s="20"/>
      <c r="Y66" s="20"/>
      <c r="Z66" s="20"/>
      <c r="AA66" s="20"/>
      <c r="AB66" s="20"/>
    </row>
    <row r="67" spans="1:28" ht="20.100000000000001" customHeight="1" x14ac:dyDescent="0.15">
      <c r="A67" s="23"/>
      <c r="J67" s="20"/>
      <c r="K67" s="20"/>
      <c r="L67" s="20"/>
      <c r="M67" s="20"/>
      <c r="N67" s="20"/>
      <c r="O67" s="20"/>
      <c r="P67" s="20"/>
      <c r="Q67" s="20"/>
      <c r="R67" s="20"/>
      <c r="S67" s="20"/>
      <c r="T67" s="20"/>
      <c r="U67" s="20"/>
      <c r="V67" s="20"/>
      <c r="W67" s="20"/>
      <c r="X67" s="20"/>
      <c r="Y67" s="20"/>
      <c r="Z67" s="20"/>
      <c r="AA67" s="20"/>
      <c r="AB67" s="20"/>
    </row>
    <row r="68" spans="1:28" ht="20.100000000000001" customHeight="1" x14ac:dyDescent="0.15">
      <c r="A68" s="23"/>
      <c r="J68" s="20"/>
      <c r="K68" s="20"/>
      <c r="L68" s="20"/>
      <c r="M68" s="20"/>
      <c r="N68" s="20"/>
      <c r="O68" s="20"/>
      <c r="P68" s="20"/>
      <c r="Q68" s="20"/>
      <c r="R68" s="20"/>
      <c r="S68" s="20"/>
      <c r="T68" s="20"/>
      <c r="U68" s="20"/>
      <c r="V68" s="20"/>
      <c r="W68" s="20"/>
      <c r="X68" s="20"/>
      <c r="Y68" s="20"/>
      <c r="Z68" s="20"/>
      <c r="AA68" s="20"/>
      <c r="AB68" s="20"/>
    </row>
    <row r="69" spans="1:28" ht="20.100000000000001" customHeight="1" x14ac:dyDescent="0.15">
      <c r="A69" s="23"/>
      <c r="J69" s="20"/>
      <c r="K69" s="20"/>
      <c r="L69" s="20"/>
      <c r="M69" s="20"/>
      <c r="N69" s="20"/>
      <c r="O69" s="20"/>
      <c r="P69" s="20"/>
      <c r="Q69" s="20"/>
      <c r="R69" s="20"/>
      <c r="S69" s="20"/>
      <c r="T69" s="20"/>
      <c r="U69" s="20"/>
      <c r="V69" s="20"/>
      <c r="W69" s="20"/>
      <c r="X69" s="20"/>
      <c r="Y69" s="20"/>
      <c r="Z69" s="20"/>
      <c r="AA69" s="20"/>
      <c r="AB69" s="20"/>
    </row>
    <row r="70" spans="1:28" ht="20.100000000000001" customHeight="1" x14ac:dyDescent="0.15">
      <c r="A70" s="23"/>
      <c r="J70" s="20"/>
      <c r="K70" s="20"/>
      <c r="L70" s="20"/>
      <c r="M70" s="20"/>
      <c r="N70" s="20"/>
      <c r="O70" s="20"/>
      <c r="P70" s="20"/>
      <c r="Q70" s="20"/>
      <c r="R70" s="20"/>
      <c r="S70" s="20"/>
      <c r="T70" s="20"/>
      <c r="U70" s="20"/>
      <c r="V70" s="20"/>
      <c r="W70" s="20"/>
      <c r="X70" s="20"/>
      <c r="Y70" s="20"/>
      <c r="Z70" s="20"/>
      <c r="AA70" s="20"/>
      <c r="AB70" s="20"/>
    </row>
    <row r="71" spans="1:28" ht="20.100000000000001" customHeight="1" x14ac:dyDescent="0.15">
      <c r="A71" s="23"/>
      <c r="J71" s="20"/>
      <c r="K71" s="20"/>
      <c r="L71" s="20"/>
      <c r="M71" s="20"/>
      <c r="N71" s="20"/>
      <c r="O71" s="20"/>
      <c r="P71" s="20"/>
      <c r="Q71" s="20"/>
      <c r="R71" s="20"/>
      <c r="S71" s="20"/>
      <c r="T71" s="20"/>
      <c r="U71" s="20"/>
      <c r="V71" s="20"/>
      <c r="W71" s="20"/>
      <c r="X71" s="20"/>
      <c r="Y71" s="20"/>
      <c r="Z71" s="20"/>
      <c r="AA71" s="20"/>
      <c r="AB71" s="20"/>
    </row>
    <row r="72" spans="1:28" ht="20.100000000000001" customHeight="1" x14ac:dyDescent="0.15">
      <c r="A72" s="23"/>
      <c r="J72" s="20"/>
      <c r="K72" s="20"/>
      <c r="L72" s="20"/>
      <c r="M72" s="20"/>
      <c r="N72" s="20"/>
      <c r="O72" s="20"/>
      <c r="P72" s="20"/>
      <c r="Q72" s="20"/>
      <c r="R72" s="20"/>
      <c r="S72" s="20"/>
      <c r="T72" s="20"/>
      <c r="U72" s="20"/>
      <c r="V72" s="20"/>
      <c r="W72" s="20"/>
      <c r="X72" s="20"/>
      <c r="Y72" s="20"/>
      <c r="Z72" s="20"/>
      <c r="AA72" s="20"/>
      <c r="AB72" s="20"/>
    </row>
    <row r="73" spans="1:28" ht="20.100000000000001" customHeight="1" x14ac:dyDescent="0.15">
      <c r="A73" s="23"/>
      <c r="J73" s="20"/>
      <c r="K73" s="20"/>
      <c r="L73" s="20"/>
      <c r="M73" s="20"/>
      <c r="N73" s="20"/>
      <c r="O73" s="20"/>
      <c r="P73" s="20"/>
      <c r="Q73" s="20"/>
      <c r="R73" s="20"/>
      <c r="S73" s="20"/>
      <c r="T73" s="20"/>
      <c r="U73" s="20"/>
      <c r="V73" s="20"/>
      <c r="W73" s="20"/>
      <c r="X73" s="20"/>
      <c r="Y73" s="20"/>
      <c r="Z73" s="20"/>
      <c r="AA73" s="20"/>
      <c r="AB73" s="20"/>
    </row>
    <row r="74" spans="1:28" ht="20.100000000000001" customHeight="1" x14ac:dyDescent="0.15">
      <c r="A74" s="23"/>
      <c r="J74" s="20"/>
      <c r="K74" s="20"/>
      <c r="L74" s="20"/>
      <c r="M74" s="20"/>
      <c r="N74" s="20"/>
      <c r="O74" s="20"/>
      <c r="P74" s="20"/>
      <c r="Q74" s="20"/>
      <c r="R74" s="20"/>
      <c r="S74" s="20"/>
      <c r="T74" s="20"/>
      <c r="U74" s="20"/>
      <c r="V74" s="20"/>
      <c r="W74" s="20"/>
      <c r="X74" s="20"/>
      <c r="Y74" s="20"/>
      <c r="Z74" s="20"/>
      <c r="AA74" s="20"/>
      <c r="AB74" s="20"/>
    </row>
    <row r="75" spans="1:28" ht="20.100000000000001" customHeight="1" x14ac:dyDescent="0.15">
      <c r="A75" s="23"/>
      <c r="J75" s="20"/>
      <c r="K75" s="20"/>
      <c r="L75" s="20"/>
      <c r="M75" s="20"/>
      <c r="N75" s="20"/>
      <c r="O75" s="20"/>
      <c r="P75" s="20"/>
      <c r="Q75" s="20"/>
      <c r="R75" s="20"/>
      <c r="S75" s="20"/>
      <c r="T75" s="20"/>
      <c r="U75" s="20"/>
      <c r="V75" s="20"/>
      <c r="W75" s="20"/>
      <c r="X75" s="20"/>
      <c r="Y75" s="20"/>
      <c r="Z75" s="20"/>
      <c r="AA75" s="20"/>
      <c r="AB75" s="20"/>
    </row>
    <row r="76" spans="1:28" ht="20.100000000000001" customHeight="1" x14ac:dyDescent="0.15">
      <c r="A76" s="23"/>
      <c r="J76" s="20"/>
      <c r="K76" s="20"/>
      <c r="L76" s="20"/>
      <c r="M76" s="20"/>
      <c r="N76" s="20"/>
      <c r="O76" s="20"/>
      <c r="P76" s="20"/>
      <c r="Q76" s="20"/>
      <c r="R76" s="20"/>
      <c r="S76" s="20"/>
      <c r="T76" s="20"/>
      <c r="U76" s="20"/>
      <c r="V76" s="20"/>
      <c r="W76" s="20"/>
      <c r="X76" s="20"/>
      <c r="Y76" s="20"/>
      <c r="Z76" s="20"/>
      <c r="AA76" s="20"/>
      <c r="AB76" s="20"/>
    </row>
    <row r="77" spans="1:28" ht="20.100000000000001" customHeight="1" x14ac:dyDescent="0.15">
      <c r="A77" s="23"/>
      <c r="J77" s="20"/>
      <c r="K77" s="20"/>
      <c r="L77" s="20"/>
      <c r="M77" s="20"/>
      <c r="N77" s="20"/>
      <c r="O77" s="20"/>
      <c r="P77" s="20"/>
      <c r="Q77" s="20"/>
      <c r="R77" s="20"/>
      <c r="S77" s="20"/>
      <c r="T77" s="20"/>
      <c r="U77" s="20"/>
      <c r="V77" s="20"/>
      <c r="W77" s="20"/>
      <c r="X77" s="20"/>
      <c r="Y77" s="20"/>
      <c r="Z77" s="20"/>
      <c r="AA77" s="20"/>
      <c r="AB77" s="20"/>
    </row>
    <row r="78" spans="1:28" ht="20.100000000000001" customHeight="1" x14ac:dyDescent="0.15">
      <c r="A78" s="23"/>
      <c r="J78" s="20"/>
      <c r="K78" s="20"/>
      <c r="L78" s="20"/>
      <c r="M78" s="20"/>
      <c r="N78" s="20"/>
      <c r="O78" s="20"/>
      <c r="P78" s="20"/>
      <c r="Q78" s="20"/>
      <c r="R78" s="20"/>
      <c r="S78" s="20"/>
      <c r="T78" s="20"/>
      <c r="U78" s="20"/>
      <c r="V78" s="20"/>
      <c r="W78" s="20"/>
      <c r="X78" s="20"/>
      <c r="Y78" s="20"/>
      <c r="Z78" s="20"/>
      <c r="AA78" s="20"/>
      <c r="AB78" s="20"/>
    </row>
    <row r="79" spans="1:28" ht="20.100000000000001" customHeight="1" x14ac:dyDescent="0.15">
      <c r="A79" s="23"/>
      <c r="J79" s="20"/>
      <c r="K79" s="20"/>
      <c r="L79" s="20"/>
      <c r="M79" s="20"/>
      <c r="N79" s="20"/>
      <c r="O79" s="20"/>
      <c r="P79" s="20"/>
      <c r="Q79" s="20"/>
      <c r="R79" s="20"/>
      <c r="S79" s="20"/>
      <c r="T79" s="20"/>
      <c r="U79" s="20"/>
      <c r="V79" s="20"/>
      <c r="W79" s="20"/>
      <c r="X79" s="20"/>
      <c r="Y79" s="20"/>
      <c r="Z79" s="20"/>
      <c r="AA79" s="20"/>
      <c r="AB79" s="20"/>
    </row>
    <row r="80" spans="1:28" ht="20.100000000000001" customHeight="1" x14ac:dyDescent="0.15">
      <c r="A80" s="23"/>
      <c r="J80" s="20"/>
      <c r="K80" s="20"/>
      <c r="L80" s="20"/>
      <c r="M80" s="20"/>
      <c r="N80" s="20"/>
      <c r="O80" s="20"/>
      <c r="P80" s="20"/>
      <c r="Q80" s="20"/>
      <c r="R80" s="20"/>
      <c r="S80" s="20"/>
      <c r="T80" s="20"/>
      <c r="U80" s="20"/>
      <c r="V80" s="20"/>
      <c r="W80" s="20"/>
      <c r="X80" s="20"/>
      <c r="Y80" s="20"/>
      <c r="Z80" s="20"/>
      <c r="AA80" s="20"/>
      <c r="AB80" s="20"/>
    </row>
    <row r="81" spans="1:28" ht="20.100000000000001" customHeight="1" x14ac:dyDescent="0.15">
      <c r="A81" s="23"/>
      <c r="J81" s="20"/>
      <c r="K81" s="20"/>
      <c r="L81" s="20"/>
      <c r="M81" s="20"/>
      <c r="N81" s="20"/>
      <c r="O81" s="20"/>
      <c r="P81" s="20"/>
      <c r="Q81" s="20"/>
      <c r="R81" s="20"/>
      <c r="S81" s="20"/>
      <c r="T81" s="20"/>
      <c r="U81" s="20"/>
      <c r="V81" s="20"/>
      <c r="W81" s="20"/>
      <c r="X81" s="20"/>
      <c r="Y81" s="20"/>
      <c r="Z81" s="20"/>
      <c r="AA81" s="20"/>
      <c r="AB81" s="20"/>
    </row>
    <row r="82" spans="1:28" ht="20.100000000000001" customHeight="1" x14ac:dyDescent="0.15">
      <c r="A82" s="23"/>
      <c r="J82" s="20"/>
      <c r="K82" s="20"/>
      <c r="L82" s="20"/>
      <c r="M82" s="20"/>
      <c r="N82" s="20"/>
      <c r="O82" s="20"/>
      <c r="P82" s="20"/>
      <c r="Q82" s="20"/>
      <c r="R82" s="20"/>
      <c r="S82" s="20"/>
      <c r="T82" s="20"/>
      <c r="U82" s="20"/>
      <c r="V82" s="20"/>
      <c r="W82" s="20"/>
      <c r="X82" s="20"/>
      <c r="Y82" s="20"/>
      <c r="Z82" s="20"/>
      <c r="AA82" s="20"/>
      <c r="AB82" s="20"/>
    </row>
    <row r="83" spans="1:28" ht="20.100000000000001" customHeight="1" x14ac:dyDescent="0.15">
      <c r="A83" s="23"/>
      <c r="J83" s="20"/>
      <c r="K83" s="20"/>
      <c r="L83" s="20"/>
      <c r="M83" s="20"/>
      <c r="N83" s="20"/>
      <c r="O83" s="20"/>
      <c r="P83" s="20"/>
      <c r="Q83" s="20"/>
      <c r="R83" s="20"/>
      <c r="S83" s="20"/>
      <c r="T83" s="20"/>
      <c r="U83" s="20"/>
      <c r="V83" s="20"/>
      <c r="W83" s="20"/>
      <c r="X83" s="20"/>
      <c r="Y83" s="20"/>
      <c r="Z83" s="20"/>
      <c r="AA83" s="20"/>
      <c r="AB83" s="20"/>
    </row>
    <row r="84" spans="1:28" ht="20.100000000000001" customHeight="1" x14ac:dyDescent="0.15">
      <c r="A84" s="23"/>
      <c r="J84" s="20"/>
      <c r="K84" s="20"/>
      <c r="L84" s="20"/>
      <c r="M84" s="20"/>
      <c r="N84" s="20"/>
      <c r="O84" s="20"/>
      <c r="P84" s="20"/>
      <c r="Q84" s="20"/>
      <c r="R84" s="20"/>
      <c r="S84" s="20"/>
      <c r="T84" s="20"/>
      <c r="U84" s="20"/>
      <c r="V84" s="20"/>
      <c r="W84" s="20"/>
      <c r="X84" s="20"/>
      <c r="Y84" s="20"/>
      <c r="Z84" s="20"/>
      <c r="AA84" s="20"/>
      <c r="AB84" s="20"/>
    </row>
    <row r="85" spans="1:28" ht="20.100000000000001" customHeight="1" x14ac:dyDescent="0.15">
      <c r="A85" s="23"/>
      <c r="J85" s="20"/>
      <c r="K85" s="20"/>
      <c r="L85" s="20"/>
      <c r="M85" s="20"/>
      <c r="N85" s="20"/>
      <c r="O85" s="20"/>
      <c r="P85" s="20"/>
      <c r="Q85" s="20"/>
      <c r="R85" s="20"/>
      <c r="S85" s="20"/>
      <c r="T85" s="20"/>
      <c r="U85" s="20"/>
      <c r="V85" s="20"/>
      <c r="W85" s="20"/>
      <c r="X85" s="20"/>
      <c r="Y85" s="20"/>
      <c r="Z85" s="20"/>
      <c r="AA85" s="20"/>
      <c r="AB85" s="20"/>
    </row>
    <row r="86" spans="1:28" ht="20.100000000000001" customHeight="1" x14ac:dyDescent="0.15">
      <c r="A86" s="23"/>
      <c r="J86" s="20"/>
      <c r="K86" s="20"/>
      <c r="L86" s="20"/>
      <c r="M86" s="20"/>
      <c r="N86" s="20"/>
      <c r="O86" s="20"/>
      <c r="P86" s="20"/>
      <c r="Q86" s="20"/>
      <c r="R86" s="20"/>
      <c r="S86" s="20"/>
      <c r="T86" s="20"/>
      <c r="U86" s="20"/>
      <c r="V86" s="20"/>
      <c r="W86" s="20"/>
      <c r="X86" s="20"/>
      <c r="Y86" s="20"/>
      <c r="Z86" s="20"/>
      <c r="AA86" s="20"/>
      <c r="AB86" s="20"/>
    </row>
    <row r="87" spans="1:28" ht="20.100000000000001" customHeight="1" x14ac:dyDescent="0.15">
      <c r="A87" s="23"/>
      <c r="L87" s="20"/>
      <c r="M87" s="20"/>
      <c r="N87" s="20"/>
      <c r="O87" s="20"/>
      <c r="P87" s="20"/>
      <c r="Q87" s="20"/>
      <c r="R87" s="20"/>
      <c r="S87" s="20"/>
      <c r="T87" s="20"/>
      <c r="U87" s="20"/>
      <c r="V87" s="20"/>
      <c r="W87" s="20"/>
      <c r="X87" s="20"/>
      <c r="Y87" s="20"/>
      <c r="Z87" s="20"/>
      <c r="AA87" s="20"/>
      <c r="AB87" s="20"/>
    </row>
  </sheetData>
  <mergeCells count="7">
    <mergeCell ref="C1:E1"/>
    <mergeCell ref="A4:C4"/>
    <mergeCell ref="E4:G4"/>
    <mergeCell ref="H16:H18"/>
    <mergeCell ref="B24:C24"/>
    <mergeCell ref="A32:B34"/>
    <mergeCell ref="A35:B37"/>
  </mergeCells>
  <phoneticPr fontId="1" type="noConversion"/>
  <conditionalFormatting sqref="I13:I15">
    <cfRule type="cellIs" dxfId="0" priority="11" stopIfTrue="1" operator="equal">
      <formula>"적용"</formula>
    </cfRule>
  </conditionalFormatting>
  <dataValidations disablePrompts="1" count="3">
    <dataValidation type="list" allowBlank="1" showInputMessage="1" showErrorMessage="1" sqref="IG5 WLM983047 WBQ983047 VRU983047 VHY983047 UYC983047 UOG983047 UEK983047 TUO983047 TKS983047 TAW983047 SRA983047 SHE983047 RXI983047 RNM983047 RDQ983047 QTU983047 QJY983047 QAC983047 PQG983047 PGK983047 OWO983047 OMS983047 OCW983047 NTA983047 NJE983047 MZI983047 MPM983047 MFQ983047 LVU983047 LLY983047 LCC983047 KSG983047 KIK983047 JYO983047 JOS983047 JEW983047 IVA983047 ILE983047 IBI983047 HRM983047 HHQ983047 GXU983047 GNY983047 GEC983047 FUG983047 FKK983047 FAO983047 EQS983047 EGW983047 DXA983047 DNE983047 DDI983047 CTM983047 CJQ983047 BZU983047 BPY983047 BGC983047 AWG983047 AMK983047 ACO983047 SS983047 IW983047 K983047 WVI917511 WLM917511 WBQ917511 VRU917511 VHY917511 UYC917511 UOG917511 UEK917511 TUO917511 TKS917511 TAW917511 SRA917511 SHE917511 RXI917511 RNM917511 RDQ917511 QTU917511 QJY917511 QAC917511 PQG917511 PGK917511 OWO917511 OMS917511 OCW917511 NTA917511 NJE917511 MZI917511 MPM917511 MFQ917511 LVU917511 LLY917511 LCC917511 KSG917511 KIK917511 JYO917511 JOS917511 JEW917511 IVA917511 ILE917511 IBI917511 HRM917511 HHQ917511 GXU917511 GNY917511 GEC917511 FUG917511 FKK917511 FAO917511 EQS917511 EGW917511 DXA917511 DNE917511 DDI917511 CTM917511 CJQ917511 BZU917511 BPY917511 BGC917511 AWG917511 AMK917511 ACO917511 SS917511 IW917511 K917511 WVI851975 WLM851975 WBQ851975 VRU851975 VHY851975 UYC851975 UOG851975 UEK851975 TUO851975 TKS851975 TAW851975 SRA851975 SHE851975 RXI851975 RNM851975 RDQ851975 QTU851975 QJY851975 QAC851975 PQG851975 PGK851975 OWO851975 OMS851975 OCW851975 NTA851975 NJE851975 MZI851975 MPM851975 MFQ851975 LVU851975 LLY851975 LCC851975 KSG851975 KIK851975 JYO851975 JOS851975 JEW851975 IVA851975 ILE851975 IBI851975 HRM851975 HHQ851975 GXU851975 GNY851975 GEC851975 FUG851975 FKK851975 FAO851975 EQS851975 EGW851975 DXA851975 DNE851975 DDI851975 CTM851975 CJQ851975 BZU851975 BPY851975 BGC851975 AWG851975 AMK851975 ACO851975 SS851975 IW851975 K851975 WVI786439 WLM786439 WBQ786439 VRU786439 VHY786439 UYC786439 UOG786439 UEK786439 TUO786439 TKS786439 TAW786439 SRA786439 SHE786439 RXI786439 RNM786439 RDQ786439 QTU786439 QJY786439 QAC786439 PQG786439 PGK786439 OWO786439 OMS786439 OCW786439 NTA786439 NJE786439 MZI786439 MPM786439 MFQ786439 LVU786439 LLY786439 LCC786439 KSG786439 KIK786439 JYO786439 JOS786439 JEW786439 IVA786439 ILE786439 IBI786439 HRM786439 HHQ786439 GXU786439 GNY786439 GEC786439 FUG786439 FKK786439 FAO786439 EQS786439 EGW786439 DXA786439 DNE786439 DDI786439 CTM786439 CJQ786439 BZU786439 BPY786439 BGC786439 AWG786439 AMK786439 ACO786439 SS786439 IW786439 K786439 WVI720903 WLM720903 WBQ720903 VRU720903 VHY720903 UYC720903 UOG720903 UEK720903 TUO720903 TKS720903 TAW720903 SRA720903 SHE720903 RXI720903 RNM720903 RDQ720903 QTU720903 QJY720903 QAC720903 PQG720903 PGK720903 OWO720903 OMS720903 OCW720903 NTA720903 NJE720903 MZI720903 MPM720903 MFQ720903 LVU720903 LLY720903 LCC720903 KSG720903 KIK720903 JYO720903 JOS720903 JEW720903 IVA720903 ILE720903 IBI720903 HRM720903 HHQ720903 GXU720903 GNY720903 GEC720903 FUG720903 FKK720903 FAO720903 EQS720903 EGW720903 DXA720903 DNE720903 DDI720903 CTM720903 CJQ720903 BZU720903 BPY720903 BGC720903 AWG720903 AMK720903 ACO720903 SS720903 IW720903 K720903 WVI655367 WLM655367 WBQ655367 VRU655367 VHY655367 UYC655367 UOG655367 UEK655367 TUO655367 TKS655367 TAW655367 SRA655367 SHE655367 RXI655367 RNM655367 RDQ655367 QTU655367 QJY655367 QAC655367 PQG655367 PGK655367 OWO655367 OMS655367 OCW655367 NTA655367 NJE655367 MZI655367 MPM655367 MFQ655367 LVU655367 LLY655367 LCC655367 KSG655367 KIK655367 JYO655367 JOS655367 JEW655367 IVA655367 ILE655367 IBI655367 HRM655367 HHQ655367 GXU655367 GNY655367 GEC655367 FUG655367 FKK655367 FAO655367 EQS655367 EGW655367 DXA655367 DNE655367 DDI655367 CTM655367 CJQ655367 BZU655367 BPY655367 BGC655367 AWG655367 AMK655367 ACO655367 SS655367 IW655367 K655367 WVI589831 WLM589831 WBQ589831 VRU589831 VHY589831 UYC589831 UOG589831 UEK589831 TUO589831 TKS589831 TAW589831 SRA589831 SHE589831 RXI589831 RNM589831 RDQ589831 QTU589831 QJY589831 QAC589831 PQG589831 PGK589831 OWO589831 OMS589831 OCW589831 NTA589831 NJE589831 MZI589831 MPM589831 MFQ589831 LVU589831 LLY589831 LCC589831 KSG589831 KIK589831 JYO589831 JOS589831 JEW589831 IVA589831 ILE589831 IBI589831 HRM589831 HHQ589831 GXU589831 GNY589831 GEC589831 FUG589831 FKK589831 FAO589831 EQS589831 EGW589831 DXA589831 DNE589831 DDI589831 CTM589831 CJQ589831 BZU589831 BPY589831 BGC589831 AWG589831 AMK589831 ACO589831 SS589831 IW589831 K589831 WVI524295 WLM524295 WBQ524295 VRU524295 VHY524295 UYC524295 UOG524295 UEK524295 TUO524295 TKS524295 TAW524295 SRA524295 SHE524295 RXI524295 RNM524295 RDQ524295 QTU524295 QJY524295 QAC524295 PQG524295 PGK524295 OWO524295 OMS524295 OCW524295 NTA524295 NJE524295 MZI524295 MPM524295 MFQ524295 LVU524295 LLY524295 LCC524295 KSG524295 KIK524295 JYO524295 JOS524295 JEW524295 IVA524295 ILE524295 IBI524295 HRM524295 HHQ524295 GXU524295 GNY524295 GEC524295 FUG524295 FKK524295 FAO524295 EQS524295 EGW524295 DXA524295 DNE524295 DDI524295 CTM524295 CJQ524295 BZU524295 BPY524295 BGC524295 AWG524295 AMK524295 ACO524295 SS524295 IW524295 K524295 WVI458759 WLM458759 WBQ458759 VRU458759 VHY458759 UYC458759 UOG458759 UEK458759 TUO458759 TKS458759 TAW458759 SRA458759 SHE458759 RXI458759 RNM458759 RDQ458759 QTU458759 QJY458759 QAC458759 PQG458759 PGK458759 OWO458759 OMS458759 OCW458759 NTA458759 NJE458759 MZI458759 MPM458759 MFQ458759 LVU458759 LLY458759 LCC458759 KSG458759 KIK458759 JYO458759 JOS458759 JEW458759 IVA458759 ILE458759 IBI458759 HRM458759 HHQ458759 GXU458759 GNY458759 GEC458759 FUG458759 FKK458759 FAO458759 EQS458759 EGW458759 DXA458759 DNE458759 DDI458759 CTM458759 CJQ458759 BZU458759 BPY458759 BGC458759 AWG458759 AMK458759 ACO458759 SS458759 IW458759 K458759 WVI393223 WLM393223 WBQ393223 VRU393223 VHY393223 UYC393223 UOG393223 UEK393223 TUO393223 TKS393223 TAW393223 SRA393223 SHE393223 RXI393223 RNM393223 RDQ393223 QTU393223 QJY393223 QAC393223 PQG393223 PGK393223 OWO393223 OMS393223 OCW393223 NTA393223 NJE393223 MZI393223 MPM393223 MFQ393223 LVU393223 LLY393223 LCC393223 KSG393223 KIK393223 JYO393223 JOS393223 JEW393223 IVA393223 ILE393223 IBI393223 HRM393223 HHQ393223 GXU393223 GNY393223 GEC393223 FUG393223 FKK393223 FAO393223 EQS393223 EGW393223 DXA393223 DNE393223 DDI393223 CTM393223 CJQ393223 BZU393223 BPY393223 BGC393223 AWG393223 AMK393223 ACO393223 SS393223 IW393223 K393223 WVI327687 WLM327687 WBQ327687 VRU327687 VHY327687 UYC327687 UOG327687 UEK327687 TUO327687 TKS327687 TAW327687 SRA327687 SHE327687 RXI327687 RNM327687 RDQ327687 QTU327687 QJY327687 QAC327687 PQG327687 PGK327687 OWO327687 OMS327687 OCW327687 NTA327687 NJE327687 MZI327687 MPM327687 MFQ327687 LVU327687 LLY327687 LCC327687 KSG327687 KIK327687 JYO327687 JOS327687 JEW327687 IVA327687 ILE327687 IBI327687 HRM327687 HHQ327687 GXU327687 GNY327687 GEC327687 FUG327687 FKK327687 FAO327687 EQS327687 EGW327687 DXA327687 DNE327687 DDI327687 CTM327687 CJQ327687 BZU327687 BPY327687 BGC327687 AWG327687 AMK327687 ACO327687 SS327687 IW327687 K327687 WVI262151 WLM262151 WBQ262151 VRU262151 VHY262151 UYC262151 UOG262151 UEK262151 TUO262151 TKS262151 TAW262151 SRA262151 SHE262151 RXI262151 RNM262151 RDQ262151 QTU262151 QJY262151 QAC262151 PQG262151 PGK262151 OWO262151 OMS262151 OCW262151 NTA262151 NJE262151 MZI262151 MPM262151 MFQ262151 LVU262151 LLY262151 LCC262151 KSG262151 KIK262151 JYO262151 JOS262151 JEW262151 IVA262151 ILE262151 IBI262151 HRM262151 HHQ262151 GXU262151 GNY262151 GEC262151 FUG262151 FKK262151 FAO262151 EQS262151 EGW262151 DXA262151 DNE262151 DDI262151 CTM262151 CJQ262151 BZU262151 BPY262151 BGC262151 AWG262151 AMK262151 ACO262151 SS262151 IW262151 K262151 WVI196615 WLM196615 WBQ196615 VRU196615 VHY196615 UYC196615 UOG196615 UEK196615 TUO196615 TKS196615 TAW196615 SRA196615 SHE196615 RXI196615 RNM196615 RDQ196615 QTU196615 QJY196615 QAC196615 PQG196615 PGK196615 OWO196615 OMS196615 OCW196615 NTA196615 NJE196615 MZI196615 MPM196615 MFQ196615 LVU196615 LLY196615 LCC196615 KSG196615 KIK196615 JYO196615 JOS196615 JEW196615 IVA196615 ILE196615 IBI196615 HRM196615 HHQ196615 GXU196615 GNY196615 GEC196615 FUG196615 FKK196615 FAO196615 EQS196615 EGW196615 DXA196615 DNE196615 DDI196615 CTM196615 CJQ196615 BZU196615 BPY196615 BGC196615 AWG196615 AMK196615 ACO196615 SS196615 IW196615 K196615 WVI131079 WLM131079 WBQ131079 VRU131079 VHY131079 UYC131079 UOG131079 UEK131079 TUO131079 TKS131079 TAW131079 SRA131079 SHE131079 RXI131079 RNM131079 RDQ131079 QTU131079 QJY131079 QAC131079 PQG131079 PGK131079 OWO131079 OMS131079 OCW131079 NTA131079 NJE131079 MZI131079 MPM131079 MFQ131079 LVU131079 LLY131079 LCC131079 KSG131079 KIK131079 JYO131079 JOS131079 JEW131079 IVA131079 ILE131079 IBI131079 HRM131079 HHQ131079 GXU131079 GNY131079 GEC131079 FUG131079 FKK131079 FAO131079 EQS131079 EGW131079 DXA131079 DNE131079 DDI131079 CTM131079 CJQ131079 BZU131079 BPY131079 BGC131079 AWG131079 AMK131079 ACO131079 SS131079 IW131079 K131079 WVI65543 WLM65543 WBQ65543 VRU65543 VHY65543 UYC65543 UOG65543 UEK65543 TUO65543 TKS65543 TAW65543 SRA65543 SHE65543 RXI65543 RNM65543 RDQ65543 QTU65543 QJY65543 QAC65543 PQG65543 PGK65543 OWO65543 OMS65543 OCW65543 NTA65543 NJE65543 MZI65543 MPM65543 MFQ65543 LVU65543 LLY65543 LCC65543 KSG65543 KIK65543 JYO65543 JOS65543 JEW65543 IVA65543 ILE65543 IBI65543 HRM65543 HHQ65543 GXU65543 GNY65543 GEC65543 FUG65543 FKK65543 FAO65543 EQS65543 EGW65543 DXA65543 DNE65543 DDI65543 CTM65543 CJQ65543 BZU65543 BPY65543 BGC65543 AWG65543 AMK65543 ACO65543 SS65543 IW65543 K65543 WUS5 WKW5 WBA5 VRE5 VHI5 UXM5 UNQ5 UDU5 TTY5 TKC5 TAG5 SQK5 SGO5 RWS5 RMW5 RDA5 QTE5 QJI5 PZM5 PPQ5 PFU5 OVY5 OMC5 OCG5 NSK5 NIO5 MYS5 MOW5 MFA5 LVE5 LLI5 LBM5 KRQ5 KHU5 JXY5 JOC5 JEG5 IUK5 IKO5 IAS5 HQW5 HHA5 GXE5 GNI5 GDM5 FTQ5 FJU5 EZY5 EQC5 EGG5 DWK5 DMO5 DCS5 CSW5 CJA5 BZE5 BPI5 BFM5 AVQ5 ALU5 ABY5 SC5 WVI983047" xr:uid="{D43DF21B-0F33-4939-8FEC-8B5FCF458DEC}">
      <formula1>#REF!</formula1>
    </dataValidation>
    <dataValidation type="list" allowBlank="1" showInputMessage="1" showErrorMessage="1" sqref="IH7 SD7 ABZ7 ALV7 AVR7 BFN7 BPJ7 BZF7 CJB7 CSX7 DCT7 DMP7 DWL7 EGH7 EQD7 EZZ7 FJV7 FTR7 GDN7 GNJ7 GXF7 HHB7 HQX7 IAT7 IKP7 IUL7 JEH7 JOD7 JXZ7 KHV7 KRR7 LBN7 LLJ7 LVF7 MFB7 MOX7 MYT7 NIP7 NSL7 OCH7 OMD7 OVZ7 PFV7 PPR7 PZN7 QJJ7 QTF7 RDB7 RMX7 RWT7 SGP7 SQL7 TAH7 TKD7 TTZ7 UDV7 UNR7 UXN7 VHJ7 VRF7 WBB7 WKX7 WUT7 L65546 IX65545 ST65545 ACP65545 AML65545 AWH65545 BGD65545 BPZ65545 BZV65545 CJR65545 CTN65545 DDJ65545 DNF65545 DXB65545 EGX65545 EQT65545 FAP65545 FKL65545 FUH65545 GED65545 GNZ65545 GXV65545 HHR65545 HRN65545 IBJ65545 ILF65545 IVB65545 JEX65545 JOT65545 JYP65545 KIL65545 KSH65545 LCD65545 LLZ65545 LVV65545 MFR65545 MPN65545 MZJ65545 NJF65545 NTB65545 OCX65545 OMT65545 OWP65545 PGL65545 PQH65545 QAD65545 QJZ65545 QTV65545 RDR65545 RNN65545 RXJ65545 SHF65545 SRB65545 TAX65545 TKT65545 TUP65545 UEL65545 UOH65545 UYD65545 VHZ65545 VRV65545 WBR65545 WLN65545 WVJ65545 L131082 IX131081 ST131081 ACP131081 AML131081 AWH131081 BGD131081 BPZ131081 BZV131081 CJR131081 CTN131081 DDJ131081 DNF131081 DXB131081 EGX131081 EQT131081 FAP131081 FKL131081 FUH131081 GED131081 GNZ131081 GXV131081 HHR131081 HRN131081 IBJ131081 ILF131081 IVB131081 JEX131081 JOT131081 JYP131081 KIL131081 KSH131081 LCD131081 LLZ131081 LVV131081 MFR131081 MPN131081 MZJ131081 NJF131081 NTB131081 OCX131081 OMT131081 OWP131081 PGL131081 PQH131081 QAD131081 QJZ131081 QTV131081 RDR131081 RNN131081 RXJ131081 SHF131081 SRB131081 TAX131081 TKT131081 TUP131081 UEL131081 UOH131081 UYD131081 VHZ131081 VRV131081 WBR131081 WLN131081 WVJ131081 L196618 IX196617 ST196617 ACP196617 AML196617 AWH196617 BGD196617 BPZ196617 BZV196617 CJR196617 CTN196617 DDJ196617 DNF196617 DXB196617 EGX196617 EQT196617 FAP196617 FKL196617 FUH196617 GED196617 GNZ196617 GXV196617 HHR196617 HRN196617 IBJ196617 ILF196617 IVB196617 JEX196617 JOT196617 JYP196617 KIL196617 KSH196617 LCD196617 LLZ196617 LVV196617 MFR196617 MPN196617 MZJ196617 NJF196617 NTB196617 OCX196617 OMT196617 OWP196617 PGL196617 PQH196617 QAD196617 QJZ196617 QTV196617 RDR196617 RNN196617 RXJ196617 SHF196617 SRB196617 TAX196617 TKT196617 TUP196617 UEL196617 UOH196617 UYD196617 VHZ196617 VRV196617 WBR196617 WLN196617 WVJ196617 L262154 IX262153 ST262153 ACP262153 AML262153 AWH262153 BGD262153 BPZ262153 BZV262153 CJR262153 CTN262153 DDJ262153 DNF262153 DXB262153 EGX262153 EQT262153 FAP262153 FKL262153 FUH262153 GED262153 GNZ262153 GXV262153 HHR262153 HRN262153 IBJ262153 ILF262153 IVB262153 JEX262153 JOT262153 JYP262153 KIL262153 KSH262153 LCD262153 LLZ262153 LVV262153 MFR262153 MPN262153 MZJ262153 NJF262153 NTB262153 OCX262153 OMT262153 OWP262153 PGL262153 PQH262153 QAD262153 QJZ262153 QTV262153 RDR262153 RNN262153 RXJ262153 SHF262153 SRB262153 TAX262153 TKT262153 TUP262153 UEL262153 UOH262153 UYD262153 VHZ262153 VRV262153 WBR262153 WLN262153 WVJ262153 L327690 IX327689 ST327689 ACP327689 AML327689 AWH327689 BGD327689 BPZ327689 BZV327689 CJR327689 CTN327689 DDJ327689 DNF327689 DXB327689 EGX327689 EQT327689 FAP327689 FKL327689 FUH327689 GED327689 GNZ327689 GXV327689 HHR327689 HRN327689 IBJ327689 ILF327689 IVB327689 JEX327689 JOT327689 JYP327689 KIL327689 KSH327689 LCD327689 LLZ327689 LVV327689 MFR327689 MPN327689 MZJ327689 NJF327689 NTB327689 OCX327689 OMT327689 OWP327689 PGL327689 PQH327689 QAD327689 QJZ327689 QTV327689 RDR327689 RNN327689 RXJ327689 SHF327689 SRB327689 TAX327689 TKT327689 TUP327689 UEL327689 UOH327689 UYD327689 VHZ327689 VRV327689 WBR327689 WLN327689 WVJ327689 L393226 IX393225 ST393225 ACP393225 AML393225 AWH393225 BGD393225 BPZ393225 BZV393225 CJR393225 CTN393225 DDJ393225 DNF393225 DXB393225 EGX393225 EQT393225 FAP393225 FKL393225 FUH393225 GED393225 GNZ393225 GXV393225 HHR393225 HRN393225 IBJ393225 ILF393225 IVB393225 JEX393225 JOT393225 JYP393225 KIL393225 KSH393225 LCD393225 LLZ393225 LVV393225 MFR393225 MPN393225 MZJ393225 NJF393225 NTB393225 OCX393225 OMT393225 OWP393225 PGL393225 PQH393225 QAD393225 QJZ393225 QTV393225 RDR393225 RNN393225 RXJ393225 SHF393225 SRB393225 TAX393225 TKT393225 TUP393225 UEL393225 UOH393225 UYD393225 VHZ393225 VRV393225 WBR393225 WLN393225 WVJ393225 L458762 IX458761 ST458761 ACP458761 AML458761 AWH458761 BGD458761 BPZ458761 BZV458761 CJR458761 CTN458761 DDJ458761 DNF458761 DXB458761 EGX458761 EQT458761 FAP458761 FKL458761 FUH458761 GED458761 GNZ458761 GXV458761 HHR458761 HRN458761 IBJ458761 ILF458761 IVB458761 JEX458761 JOT458761 JYP458761 KIL458761 KSH458761 LCD458761 LLZ458761 LVV458761 MFR458761 MPN458761 MZJ458761 NJF458761 NTB458761 OCX458761 OMT458761 OWP458761 PGL458761 PQH458761 QAD458761 QJZ458761 QTV458761 RDR458761 RNN458761 RXJ458761 SHF458761 SRB458761 TAX458761 TKT458761 TUP458761 UEL458761 UOH458761 UYD458761 VHZ458761 VRV458761 WBR458761 WLN458761 WVJ458761 L524298 IX524297 ST524297 ACP524297 AML524297 AWH524297 BGD524297 BPZ524297 BZV524297 CJR524297 CTN524297 DDJ524297 DNF524297 DXB524297 EGX524297 EQT524297 FAP524297 FKL524297 FUH524297 GED524297 GNZ524297 GXV524297 HHR524297 HRN524297 IBJ524297 ILF524297 IVB524297 JEX524297 JOT524297 JYP524297 KIL524297 KSH524297 LCD524297 LLZ524297 LVV524297 MFR524297 MPN524297 MZJ524297 NJF524297 NTB524297 OCX524297 OMT524297 OWP524297 PGL524297 PQH524297 QAD524297 QJZ524297 QTV524297 RDR524297 RNN524297 RXJ524297 SHF524297 SRB524297 TAX524297 TKT524297 TUP524297 UEL524297 UOH524297 UYD524297 VHZ524297 VRV524297 WBR524297 WLN524297 WVJ524297 L589834 IX589833 ST589833 ACP589833 AML589833 AWH589833 BGD589833 BPZ589833 BZV589833 CJR589833 CTN589833 DDJ589833 DNF589833 DXB589833 EGX589833 EQT589833 FAP589833 FKL589833 FUH589833 GED589833 GNZ589833 GXV589833 HHR589833 HRN589833 IBJ589833 ILF589833 IVB589833 JEX589833 JOT589833 JYP589833 KIL589833 KSH589833 LCD589833 LLZ589833 LVV589833 MFR589833 MPN589833 MZJ589833 NJF589833 NTB589833 OCX589833 OMT589833 OWP589833 PGL589833 PQH589833 QAD589833 QJZ589833 QTV589833 RDR589833 RNN589833 RXJ589833 SHF589833 SRB589833 TAX589833 TKT589833 TUP589833 UEL589833 UOH589833 UYD589833 VHZ589833 VRV589833 WBR589833 WLN589833 WVJ589833 L655370 IX655369 ST655369 ACP655369 AML655369 AWH655369 BGD655369 BPZ655369 BZV655369 CJR655369 CTN655369 DDJ655369 DNF655369 DXB655369 EGX655369 EQT655369 FAP655369 FKL655369 FUH655369 GED655369 GNZ655369 GXV655369 HHR655369 HRN655369 IBJ655369 ILF655369 IVB655369 JEX655369 JOT655369 JYP655369 KIL655369 KSH655369 LCD655369 LLZ655369 LVV655369 MFR655369 MPN655369 MZJ655369 NJF655369 NTB655369 OCX655369 OMT655369 OWP655369 PGL655369 PQH655369 QAD655369 QJZ655369 QTV655369 RDR655369 RNN655369 RXJ655369 SHF655369 SRB655369 TAX655369 TKT655369 TUP655369 UEL655369 UOH655369 UYD655369 VHZ655369 VRV655369 WBR655369 WLN655369 WVJ655369 L720906 IX720905 ST720905 ACP720905 AML720905 AWH720905 BGD720905 BPZ720905 BZV720905 CJR720905 CTN720905 DDJ720905 DNF720905 DXB720905 EGX720905 EQT720905 FAP720905 FKL720905 FUH720905 GED720905 GNZ720905 GXV720905 HHR720905 HRN720905 IBJ720905 ILF720905 IVB720905 JEX720905 JOT720905 JYP720905 KIL720905 KSH720905 LCD720905 LLZ720905 LVV720905 MFR720905 MPN720905 MZJ720905 NJF720905 NTB720905 OCX720905 OMT720905 OWP720905 PGL720905 PQH720905 QAD720905 QJZ720905 QTV720905 RDR720905 RNN720905 RXJ720905 SHF720905 SRB720905 TAX720905 TKT720905 TUP720905 UEL720905 UOH720905 UYD720905 VHZ720905 VRV720905 WBR720905 WLN720905 WVJ720905 L786442 IX786441 ST786441 ACP786441 AML786441 AWH786441 BGD786441 BPZ786441 BZV786441 CJR786441 CTN786441 DDJ786441 DNF786441 DXB786441 EGX786441 EQT786441 FAP786441 FKL786441 FUH786441 GED786441 GNZ786441 GXV786441 HHR786441 HRN786441 IBJ786441 ILF786441 IVB786441 JEX786441 JOT786441 JYP786441 KIL786441 KSH786441 LCD786441 LLZ786441 LVV786441 MFR786441 MPN786441 MZJ786441 NJF786441 NTB786441 OCX786441 OMT786441 OWP786441 PGL786441 PQH786441 QAD786441 QJZ786441 QTV786441 RDR786441 RNN786441 RXJ786441 SHF786441 SRB786441 TAX786441 TKT786441 TUP786441 UEL786441 UOH786441 UYD786441 VHZ786441 VRV786441 WBR786441 WLN786441 WVJ786441 L851978 IX851977 ST851977 ACP851977 AML851977 AWH851977 BGD851977 BPZ851977 BZV851977 CJR851977 CTN851977 DDJ851977 DNF851977 DXB851977 EGX851977 EQT851977 FAP851977 FKL851977 FUH851977 GED851977 GNZ851977 GXV851977 HHR851977 HRN851977 IBJ851977 ILF851977 IVB851977 JEX851977 JOT851977 JYP851977 KIL851977 KSH851977 LCD851977 LLZ851977 LVV851977 MFR851977 MPN851977 MZJ851977 NJF851977 NTB851977 OCX851977 OMT851977 OWP851977 PGL851977 PQH851977 QAD851977 QJZ851977 QTV851977 RDR851977 RNN851977 RXJ851977 SHF851977 SRB851977 TAX851977 TKT851977 TUP851977 UEL851977 UOH851977 UYD851977 VHZ851977 VRV851977 WBR851977 WLN851977 WVJ851977 L917514 IX917513 ST917513 ACP917513 AML917513 AWH917513 BGD917513 BPZ917513 BZV917513 CJR917513 CTN917513 DDJ917513 DNF917513 DXB917513 EGX917513 EQT917513 FAP917513 FKL917513 FUH917513 GED917513 GNZ917513 GXV917513 HHR917513 HRN917513 IBJ917513 ILF917513 IVB917513 JEX917513 JOT917513 JYP917513 KIL917513 KSH917513 LCD917513 LLZ917513 LVV917513 MFR917513 MPN917513 MZJ917513 NJF917513 NTB917513 OCX917513 OMT917513 OWP917513 PGL917513 PQH917513 QAD917513 QJZ917513 QTV917513 RDR917513 RNN917513 RXJ917513 SHF917513 SRB917513 TAX917513 TKT917513 TUP917513 UEL917513 UOH917513 UYD917513 VHZ917513 VRV917513 WBR917513 WLN917513 WVJ917513 L983050 IX983049 ST983049 ACP983049 AML983049 AWH983049 BGD983049 BPZ983049 BZV983049 CJR983049 CTN983049 DDJ983049 DNF983049 DXB983049 EGX983049 EQT983049 FAP983049 FKL983049 FUH983049 GED983049 GNZ983049 GXV983049 HHR983049 HRN983049 IBJ983049 ILF983049 IVB983049 JEX983049 JOT983049 JYP983049 KIL983049 KSH983049 LCD983049 LLZ983049 LVV983049 MFR983049 MPN983049 MZJ983049 NJF983049 NTB983049 OCX983049 OMT983049 OWP983049 PGL983049 PQH983049 QAD983049 QJZ983049 QTV983049 RDR983049 RNN983049 RXJ983049 SHF983049 SRB983049 TAX983049 TKT983049 TUP983049 UEL983049 UOH983049 UYD983049 VHZ983049 VRV983049 WBR983049 WLN983049 WVJ983049" xr:uid="{2B6C9216-7455-4E1E-965F-CE1F111CD5D8}">
      <formula1>"해당,없음"</formula1>
    </dataValidation>
    <dataValidation type="list" allowBlank="1" showInputMessage="1" showErrorMessage="1" sqref="WVH983048 WLL983048 WBP983048 VRT983048 VHX983048 UYB983048 UOF983048 UEJ983048 TUN983048 TKR983048 TAV983048 SQZ983048 SHD983048 RXH983048 RNL983048 RDP983048 QTT983048 QJX983048 QAB983048 PQF983048 PGJ983048 OWN983048 OMR983048 OCV983048 NSZ983048 NJD983048 MZH983048 MPL983048 MFP983048 LVT983048 LLX983048 LCB983048 KSF983048 KIJ983048 JYN983048 JOR983048 JEV983048 IUZ983048 ILD983048 IBH983048 HRL983048 HHP983048 GXT983048 GNX983048 GEB983048 FUF983048 FKJ983048 FAN983048 EQR983048 EGV983048 DWZ983048 DND983048 DDH983048 CTL983048 CJP983048 BZT983048 BPX983048 BGB983048 AWF983048 AMJ983048 ACN983048 SR983048 IV983048 J983048 WVH917512 WLL917512 WBP917512 VRT917512 VHX917512 UYB917512 UOF917512 UEJ917512 TUN917512 TKR917512 TAV917512 SQZ917512 SHD917512 RXH917512 RNL917512 RDP917512 QTT917512 QJX917512 QAB917512 PQF917512 PGJ917512 OWN917512 OMR917512 OCV917512 NSZ917512 NJD917512 MZH917512 MPL917512 MFP917512 LVT917512 LLX917512 LCB917512 KSF917512 KIJ917512 JYN917512 JOR917512 JEV917512 IUZ917512 ILD917512 IBH917512 HRL917512 HHP917512 GXT917512 GNX917512 GEB917512 FUF917512 FKJ917512 FAN917512 EQR917512 EGV917512 DWZ917512 DND917512 DDH917512 CTL917512 CJP917512 BZT917512 BPX917512 BGB917512 AWF917512 AMJ917512 ACN917512 SR917512 IV917512 J917512 WVH851976 WLL851976 WBP851976 VRT851976 VHX851976 UYB851976 UOF851976 UEJ851976 TUN851976 TKR851976 TAV851976 SQZ851976 SHD851976 RXH851976 RNL851976 RDP851976 QTT851976 QJX851976 QAB851976 PQF851976 PGJ851976 OWN851976 OMR851976 OCV851976 NSZ851976 NJD851976 MZH851976 MPL851976 MFP851976 LVT851976 LLX851976 LCB851976 KSF851976 KIJ851976 JYN851976 JOR851976 JEV851976 IUZ851976 ILD851976 IBH851976 HRL851976 HHP851976 GXT851976 GNX851976 GEB851976 FUF851976 FKJ851976 FAN851976 EQR851976 EGV851976 DWZ851976 DND851976 DDH851976 CTL851976 CJP851976 BZT851976 BPX851976 BGB851976 AWF851976 AMJ851976 ACN851976 SR851976 IV851976 J851976 WVH786440 WLL786440 WBP786440 VRT786440 VHX786440 UYB786440 UOF786440 UEJ786440 TUN786440 TKR786440 TAV786440 SQZ786440 SHD786440 RXH786440 RNL786440 RDP786440 QTT786440 QJX786440 QAB786440 PQF786440 PGJ786440 OWN786440 OMR786440 OCV786440 NSZ786440 NJD786440 MZH786440 MPL786440 MFP786440 LVT786440 LLX786440 LCB786440 KSF786440 KIJ786440 JYN786440 JOR786440 JEV786440 IUZ786440 ILD786440 IBH786440 HRL786440 HHP786440 GXT786440 GNX786440 GEB786440 FUF786440 FKJ786440 FAN786440 EQR786440 EGV786440 DWZ786440 DND786440 DDH786440 CTL786440 CJP786440 BZT786440 BPX786440 BGB786440 AWF786440 AMJ786440 ACN786440 SR786440 IV786440 J786440 WVH720904 WLL720904 WBP720904 VRT720904 VHX720904 UYB720904 UOF720904 UEJ720904 TUN720904 TKR720904 TAV720904 SQZ720904 SHD720904 RXH720904 RNL720904 RDP720904 QTT720904 QJX720904 QAB720904 PQF720904 PGJ720904 OWN720904 OMR720904 OCV720904 NSZ720904 NJD720904 MZH720904 MPL720904 MFP720904 LVT720904 LLX720904 LCB720904 KSF720904 KIJ720904 JYN720904 JOR720904 JEV720904 IUZ720904 ILD720904 IBH720904 HRL720904 HHP720904 GXT720904 GNX720904 GEB720904 FUF720904 FKJ720904 FAN720904 EQR720904 EGV720904 DWZ720904 DND720904 DDH720904 CTL720904 CJP720904 BZT720904 BPX720904 BGB720904 AWF720904 AMJ720904 ACN720904 SR720904 IV720904 J720904 WVH655368 WLL655368 WBP655368 VRT655368 VHX655368 UYB655368 UOF655368 UEJ655368 TUN655368 TKR655368 TAV655368 SQZ655368 SHD655368 RXH655368 RNL655368 RDP655368 QTT655368 QJX655368 QAB655368 PQF655368 PGJ655368 OWN655368 OMR655368 OCV655368 NSZ655368 NJD655368 MZH655368 MPL655368 MFP655368 LVT655368 LLX655368 LCB655368 KSF655368 KIJ655368 JYN655368 JOR655368 JEV655368 IUZ655368 ILD655368 IBH655368 HRL655368 HHP655368 GXT655368 GNX655368 GEB655368 FUF655368 FKJ655368 FAN655368 EQR655368 EGV655368 DWZ655368 DND655368 DDH655368 CTL655368 CJP655368 BZT655368 BPX655368 BGB655368 AWF655368 AMJ655368 ACN655368 SR655368 IV655368 J655368 WVH589832 WLL589832 WBP589832 VRT589832 VHX589832 UYB589832 UOF589832 UEJ589832 TUN589832 TKR589832 TAV589832 SQZ589832 SHD589832 RXH589832 RNL589832 RDP589832 QTT589832 QJX589832 QAB589832 PQF589832 PGJ589832 OWN589832 OMR589832 OCV589832 NSZ589832 NJD589832 MZH589832 MPL589832 MFP589832 LVT589832 LLX589832 LCB589832 KSF589832 KIJ589832 JYN589832 JOR589832 JEV589832 IUZ589832 ILD589832 IBH589832 HRL589832 HHP589832 GXT589832 GNX589832 GEB589832 FUF589832 FKJ589832 FAN589832 EQR589832 EGV589832 DWZ589832 DND589832 DDH589832 CTL589832 CJP589832 BZT589832 BPX589832 BGB589832 AWF589832 AMJ589832 ACN589832 SR589832 IV589832 J589832 WVH524296 WLL524296 WBP524296 VRT524296 VHX524296 UYB524296 UOF524296 UEJ524296 TUN524296 TKR524296 TAV524296 SQZ524296 SHD524296 RXH524296 RNL524296 RDP524296 QTT524296 QJX524296 QAB524296 PQF524296 PGJ524296 OWN524296 OMR524296 OCV524296 NSZ524296 NJD524296 MZH524296 MPL524296 MFP524296 LVT524296 LLX524296 LCB524296 KSF524296 KIJ524296 JYN524296 JOR524296 JEV524296 IUZ524296 ILD524296 IBH524296 HRL524296 HHP524296 GXT524296 GNX524296 GEB524296 FUF524296 FKJ524296 FAN524296 EQR524296 EGV524296 DWZ524296 DND524296 DDH524296 CTL524296 CJP524296 BZT524296 BPX524296 BGB524296 AWF524296 AMJ524296 ACN524296 SR524296 IV524296 J524296 WVH458760 WLL458760 WBP458760 VRT458760 VHX458760 UYB458760 UOF458760 UEJ458760 TUN458760 TKR458760 TAV458760 SQZ458760 SHD458760 RXH458760 RNL458760 RDP458760 QTT458760 QJX458760 QAB458760 PQF458760 PGJ458760 OWN458760 OMR458760 OCV458760 NSZ458760 NJD458760 MZH458760 MPL458760 MFP458760 LVT458760 LLX458760 LCB458760 KSF458760 KIJ458760 JYN458760 JOR458760 JEV458760 IUZ458760 ILD458760 IBH458760 HRL458760 HHP458760 GXT458760 GNX458760 GEB458760 FUF458760 FKJ458760 FAN458760 EQR458760 EGV458760 DWZ458760 DND458760 DDH458760 CTL458760 CJP458760 BZT458760 BPX458760 BGB458760 AWF458760 AMJ458760 ACN458760 SR458760 IV458760 J458760 WVH393224 WLL393224 WBP393224 VRT393224 VHX393224 UYB393224 UOF393224 UEJ393224 TUN393224 TKR393224 TAV393224 SQZ393224 SHD393224 RXH393224 RNL393224 RDP393224 QTT393224 QJX393224 QAB393224 PQF393224 PGJ393224 OWN393224 OMR393224 OCV393224 NSZ393224 NJD393224 MZH393224 MPL393224 MFP393224 LVT393224 LLX393224 LCB393224 KSF393224 KIJ393224 JYN393224 JOR393224 JEV393224 IUZ393224 ILD393224 IBH393224 HRL393224 HHP393224 GXT393224 GNX393224 GEB393224 FUF393224 FKJ393224 FAN393224 EQR393224 EGV393224 DWZ393224 DND393224 DDH393224 CTL393224 CJP393224 BZT393224 BPX393224 BGB393224 AWF393224 AMJ393224 ACN393224 SR393224 IV393224 J393224 WVH327688 WLL327688 WBP327688 VRT327688 VHX327688 UYB327688 UOF327688 UEJ327688 TUN327688 TKR327688 TAV327688 SQZ327688 SHD327688 RXH327688 RNL327688 RDP327688 QTT327688 QJX327688 QAB327688 PQF327688 PGJ327688 OWN327688 OMR327688 OCV327688 NSZ327688 NJD327688 MZH327688 MPL327688 MFP327688 LVT327688 LLX327688 LCB327688 KSF327688 KIJ327688 JYN327688 JOR327688 JEV327688 IUZ327688 ILD327688 IBH327688 HRL327688 HHP327688 GXT327688 GNX327688 GEB327688 FUF327688 FKJ327688 FAN327688 EQR327688 EGV327688 DWZ327688 DND327688 DDH327688 CTL327688 CJP327688 BZT327688 BPX327688 BGB327688 AWF327688 AMJ327688 ACN327688 SR327688 IV327688 J327688 WVH262152 WLL262152 WBP262152 VRT262152 VHX262152 UYB262152 UOF262152 UEJ262152 TUN262152 TKR262152 TAV262152 SQZ262152 SHD262152 RXH262152 RNL262152 RDP262152 QTT262152 QJX262152 QAB262152 PQF262152 PGJ262152 OWN262152 OMR262152 OCV262152 NSZ262152 NJD262152 MZH262152 MPL262152 MFP262152 LVT262152 LLX262152 LCB262152 KSF262152 KIJ262152 JYN262152 JOR262152 JEV262152 IUZ262152 ILD262152 IBH262152 HRL262152 HHP262152 GXT262152 GNX262152 GEB262152 FUF262152 FKJ262152 FAN262152 EQR262152 EGV262152 DWZ262152 DND262152 DDH262152 CTL262152 CJP262152 BZT262152 BPX262152 BGB262152 AWF262152 AMJ262152 ACN262152 SR262152 IV262152 J262152 WVH196616 WLL196616 WBP196616 VRT196616 VHX196616 UYB196616 UOF196616 UEJ196616 TUN196616 TKR196616 TAV196616 SQZ196616 SHD196616 RXH196616 RNL196616 RDP196616 QTT196616 QJX196616 QAB196616 PQF196616 PGJ196616 OWN196616 OMR196616 OCV196616 NSZ196616 NJD196616 MZH196616 MPL196616 MFP196616 LVT196616 LLX196616 LCB196616 KSF196616 KIJ196616 JYN196616 JOR196616 JEV196616 IUZ196616 ILD196616 IBH196616 HRL196616 HHP196616 GXT196616 GNX196616 GEB196616 FUF196616 FKJ196616 FAN196616 EQR196616 EGV196616 DWZ196616 DND196616 DDH196616 CTL196616 CJP196616 BZT196616 BPX196616 BGB196616 AWF196616 AMJ196616 ACN196616 SR196616 IV196616 J196616 WVH131080 WLL131080 WBP131080 VRT131080 VHX131080 UYB131080 UOF131080 UEJ131080 TUN131080 TKR131080 TAV131080 SQZ131080 SHD131080 RXH131080 RNL131080 RDP131080 QTT131080 QJX131080 QAB131080 PQF131080 PGJ131080 OWN131080 OMR131080 OCV131080 NSZ131080 NJD131080 MZH131080 MPL131080 MFP131080 LVT131080 LLX131080 LCB131080 KSF131080 KIJ131080 JYN131080 JOR131080 JEV131080 IUZ131080 ILD131080 IBH131080 HRL131080 HHP131080 GXT131080 GNX131080 GEB131080 FUF131080 FKJ131080 FAN131080 EQR131080 EGV131080 DWZ131080 DND131080 DDH131080 CTL131080 CJP131080 BZT131080 BPX131080 BGB131080 AWF131080 AMJ131080 ACN131080 SR131080 IV131080 J131080 WVH65544 WLL65544 WBP65544 VRT65544 VHX65544 UYB65544 UOF65544 UEJ65544 TUN65544 TKR65544 TAV65544 SQZ65544 SHD65544 RXH65544 RNL65544 RDP65544 QTT65544 QJX65544 QAB65544 PQF65544 PGJ65544 OWN65544 OMR65544 OCV65544 NSZ65544 NJD65544 MZH65544 MPL65544 MFP65544 LVT65544 LLX65544 LCB65544 KSF65544 KIJ65544 JYN65544 JOR65544 JEV65544 IUZ65544 ILD65544 IBH65544 HRL65544 HHP65544 GXT65544 GNX65544 GEB65544 FUF65544 FKJ65544 FAN65544 EQR65544 EGV65544 DWZ65544 DND65544 DDH65544 CTL65544 CJP65544 BZT65544 BPX65544 BGB65544 AWF65544 AMJ65544 ACN65544 SR65544 IV65544 J65544 WUR6 WKV6 WAZ6 VRD6 VHH6 UXL6 UNP6 UDT6 TTX6 TKB6 TAF6 SQJ6 SGN6 RWR6 RMV6 RCZ6 QTD6 QJH6 PZL6 PPP6 PFT6 OVX6 OMB6 OCF6 NSJ6 NIN6 MYR6 MOV6 MEZ6 LVD6 LLH6 LBL6 KRP6 KHT6 JXX6 JOB6 JEF6 IUJ6 IKN6 IAR6 HQV6 HGZ6 GXD6 GNH6 GDL6 FTP6 FJT6 EZX6 EQB6 EGF6 DWJ6 DMN6 DCR6 CSV6 CIZ6 BZD6 BPH6 BFL6 AVP6 ALT6 ABX6 SB6 IF6" xr:uid="{32F2C555-6D0D-4637-8EDD-AC9AA19F917C}">
      <formula1>#REF!</formula1>
    </dataValidation>
  </dataValidations>
  <pageMargins left="0.78740157480314965" right="0.39370078740157483" top="0.39370078740157483" bottom="0.39370078740157483" header="0.19685039370078741" footer="0.19685039370078741"/>
  <pageSetup paperSize="9" scale="85"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584493-181C-4CCA-A088-8C59EB21E996}">
  <sheetPr>
    <tabColor indexed="43"/>
  </sheetPr>
  <dimension ref="A1:R47"/>
  <sheetViews>
    <sheetView showZeros="0" view="pageBreakPreview" zoomScaleNormal="100" zoomScaleSheetLayoutView="100" workbookViewId="0">
      <selection activeCell="C37" sqref="C37:D37"/>
    </sheetView>
  </sheetViews>
  <sheetFormatPr defaultColWidth="7" defaultRowHeight="20.100000000000001" customHeight="1" x14ac:dyDescent="0.3"/>
  <cols>
    <col min="1" max="5" width="20.625" style="69" customWidth="1"/>
    <col min="6" max="6" width="24.625" style="69" customWidth="1"/>
    <col min="7" max="7" width="10.625" style="68" customWidth="1"/>
    <col min="8" max="8" width="9" style="69" bestFit="1" customWidth="1"/>
    <col min="9" max="9" width="7" style="69"/>
    <col min="10" max="10" width="15.625" style="69" customWidth="1"/>
    <col min="11" max="11" width="10.5" style="69" bestFit="1" customWidth="1"/>
    <col min="12" max="14" width="7" style="69"/>
    <col min="15" max="15" width="11.375" style="69" bestFit="1" customWidth="1"/>
    <col min="16" max="17" width="13" style="69" bestFit="1" customWidth="1"/>
    <col min="18" max="229" width="7" style="69"/>
    <col min="230" max="230" width="12.375" style="69" customWidth="1"/>
    <col min="231" max="232" width="7.625" style="69" customWidth="1"/>
    <col min="233" max="233" width="14.375" style="69" customWidth="1"/>
    <col min="234" max="234" width="6.5" style="69" customWidth="1"/>
    <col min="235" max="235" width="3.75" style="69" customWidth="1"/>
    <col min="236" max="237" width="8.75" style="69" customWidth="1"/>
    <col min="238" max="238" width="3.75" style="69" customWidth="1"/>
    <col min="239" max="239" width="15.5" style="69" customWidth="1"/>
    <col min="240" max="240" width="38.625" style="69" customWidth="1"/>
    <col min="241" max="241" width="4.25" style="69" customWidth="1"/>
    <col min="242" max="242" width="11.75" style="69" customWidth="1"/>
    <col min="243" max="243" width="11.375" style="69" bestFit="1" customWidth="1"/>
    <col min="244" max="262" width="0" style="69" hidden="1" customWidth="1"/>
    <col min="263" max="485" width="7" style="69"/>
    <col min="486" max="486" width="12.375" style="69" customWidth="1"/>
    <col min="487" max="488" width="7.625" style="69" customWidth="1"/>
    <col min="489" max="489" width="14.375" style="69" customWidth="1"/>
    <col min="490" max="490" width="6.5" style="69" customWidth="1"/>
    <col min="491" max="491" width="3.75" style="69" customWidth="1"/>
    <col min="492" max="493" width="8.75" style="69" customWidth="1"/>
    <col min="494" max="494" width="3.75" style="69" customWidth="1"/>
    <col min="495" max="495" width="15.5" style="69" customWidth="1"/>
    <col min="496" max="496" width="38.625" style="69" customWidth="1"/>
    <col min="497" max="497" width="4.25" style="69" customWidth="1"/>
    <col min="498" max="498" width="11.75" style="69" customWidth="1"/>
    <col min="499" max="499" width="11.375" style="69" bestFit="1" customWidth="1"/>
    <col min="500" max="518" width="0" style="69" hidden="1" customWidth="1"/>
    <col min="519" max="741" width="7" style="69"/>
    <col min="742" max="742" width="12.375" style="69" customWidth="1"/>
    <col min="743" max="744" width="7.625" style="69" customWidth="1"/>
    <col min="745" max="745" width="14.375" style="69" customWidth="1"/>
    <col min="746" max="746" width="6.5" style="69" customWidth="1"/>
    <col min="747" max="747" width="3.75" style="69" customWidth="1"/>
    <col min="748" max="749" width="8.75" style="69" customWidth="1"/>
    <col min="750" max="750" width="3.75" style="69" customWidth="1"/>
    <col min="751" max="751" width="15.5" style="69" customWidth="1"/>
    <col min="752" max="752" width="38.625" style="69" customWidth="1"/>
    <col min="753" max="753" width="4.25" style="69" customWidth="1"/>
    <col min="754" max="754" width="11.75" style="69" customWidth="1"/>
    <col min="755" max="755" width="11.375" style="69" bestFit="1" customWidth="1"/>
    <col min="756" max="774" width="0" style="69" hidden="1" customWidth="1"/>
    <col min="775" max="997" width="7" style="69"/>
    <col min="998" max="998" width="12.375" style="69" customWidth="1"/>
    <col min="999" max="1000" width="7.625" style="69" customWidth="1"/>
    <col min="1001" max="1001" width="14.375" style="69" customWidth="1"/>
    <col min="1002" max="1002" width="6.5" style="69" customWidth="1"/>
    <col min="1003" max="1003" width="3.75" style="69" customWidth="1"/>
    <col min="1004" max="1005" width="8.75" style="69" customWidth="1"/>
    <col min="1006" max="1006" width="3.75" style="69" customWidth="1"/>
    <col min="1007" max="1007" width="15.5" style="69" customWidth="1"/>
    <col min="1008" max="1008" width="38.625" style="69" customWidth="1"/>
    <col min="1009" max="1009" width="4.25" style="69" customWidth="1"/>
    <col min="1010" max="1010" width="11.75" style="69" customWidth="1"/>
    <col min="1011" max="1011" width="11.375" style="69" bestFit="1" customWidth="1"/>
    <col min="1012" max="1030" width="0" style="69" hidden="1" customWidth="1"/>
    <col min="1031" max="1253" width="7" style="69"/>
    <col min="1254" max="1254" width="12.375" style="69" customWidth="1"/>
    <col min="1255" max="1256" width="7.625" style="69" customWidth="1"/>
    <col min="1257" max="1257" width="14.375" style="69" customWidth="1"/>
    <col min="1258" max="1258" width="6.5" style="69" customWidth="1"/>
    <col min="1259" max="1259" width="3.75" style="69" customWidth="1"/>
    <col min="1260" max="1261" width="8.75" style="69" customWidth="1"/>
    <col min="1262" max="1262" width="3.75" style="69" customWidth="1"/>
    <col min="1263" max="1263" width="15.5" style="69" customWidth="1"/>
    <col min="1264" max="1264" width="38.625" style="69" customWidth="1"/>
    <col min="1265" max="1265" width="4.25" style="69" customWidth="1"/>
    <col min="1266" max="1266" width="11.75" style="69" customWidth="1"/>
    <col min="1267" max="1267" width="11.375" style="69" bestFit="1" customWidth="1"/>
    <col min="1268" max="1286" width="0" style="69" hidden="1" customWidth="1"/>
    <col min="1287" max="1509" width="7" style="69"/>
    <col min="1510" max="1510" width="12.375" style="69" customWidth="1"/>
    <col min="1511" max="1512" width="7.625" style="69" customWidth="1"/>
    <col min="1513" max="1513" width="14.375" style="69" customWidth="1"/>
    <col min="1514" max="1514" width="6.5" style="69" customWidth="1"/>
    <col min="1515" max="1515" width="3.75" style="69" customWidth="1"/>
    <col min="1516" max="1517" width="8.75" style="69" customWidth="1"/>
    <col min="1518" max="1518" width="3.75" style="69" customWidth="1"/>
    <col min="1519" max="1519" width="15.5" style="69" customWidth="1"/>
    <col min="1520" max="1520" width="38.625" style="69" customWidth="1"/>
    <col min="1521" max="1521" width="4.25" style="69" customWidth="1"/>
    <col min="1522" max="1522" width="11.75" style="69" customWidth="1"/>
    <col min="1523" max="1523" width="11.375" style="69" bestFit="1" customWidth="1"/>
    <col min="1524" max="1542" width="0" style="69" hidden="1" customWidth="1"/>
    <col min="1543" max="1765" width="7" style="69"/>
    <col min="1766" max="1766" width="12.375" style="69" customWidth="1"/>
    <col min="1767" max="1768" width="7.625" style="69" customWidth="1"/>
    <col min="1769" max="1769" width="14.375" style="69" customWidth="1"/>
    <col min="1770" max="1770" width="6.5" style="69" customWidth="1"/>
    <col min="1771" max="1771" width="3.75" style="69" customWidth="1"/>
    <col min="1772" max="1773" width="8.75" style="69" customWidth="1"/>
    <col min="1774" max="1774" width="3.75" style="69" customWidth="1"/>
    <col min="1775" max="1775" width="15.5" style="69" customWidth="1"/>
    <col min="1776" max="1776" width="38.625" style="69" customWidth="1"/>
    <col min="1777" max="1777" width="4.25" style="69" customWidth="1"/>
    <col min="1778" max="1778" width="11.75" style="69" customWidth="1"/>
    <col min="1779" max="1779" width="11.375" style="69" bestFit="1" customWidth="1"/>
    <col min="1780" max="1798" width="0" style="69" hidden="1" customWidth="1"/>
    <col min="1799" max="2021" width="7" style="69"/>
    <col min="2022" max="2022" width="12.375" style="69" customWidth="1"/>
    <col min="2023" max="2024" width="7.625" style="69" customWidth="1"/>
    <col min="2025" max="2025" width="14.375" style="69" customWidth="1"/>
    <col min="2026" max="2026" width="6.5" style="69" customWidth="1"/>
    <col min="2027" max="2027" width="3.75" style="69" customWidth="1"/>
    <col min="2028" max="2029" width="8.75" style="69" customWidth="1"/>
    <col min="2030" max="2030" width="3.75" style="69" customWidth="1"/>
    <col min="2031" max="2031" width="15.5" style="69" customWidth="1"/>
    <col min="2032" max="2032" width="38.625" style="69" customWidth="1"/>
    <col min="2033" max="2033" width="4.25" style="69" customWidth="1"/>
    <col min="2034" max="2034" width="11.75" style="69" customWidth="1"/>
    <col min="2035" max="2035" width="11.375" style="69" bestFit="1" customWidth="1"/>
    <col min="2036" max="2054" width="0" style="69" hidden="1" customWidth="1"/>
    <col min="2055" max="2277" width="7" style="69"/>
    <col min="2278" max="2278" width="12.375" style="69" customWidth="1"/>
    <col min="2279" max="2280" width="7.625" style="69" customWidth="1"/>
    <col min="2281" max="2281" width="14.375" style="69" customWidth="1"/>
    <col min="2282" max="2282" width="6.5" style="69" customWidth="1"/>
    <col min="2283" max="2283" width="3.75" style="69" customWidth="1"/>
    <col min="2284" max="2285" width="8.75" style="69" customWidth="1"/>
    <col min="2286" max="2286" width="3.75" style="69" customWidth="1"/>
    <col min="2287" max="2287" width="15.5" style="69" customWidth="1"/>
    <col min="2288" max="2288" width="38.625" style="69" customWidth="1"/>
    <col min="2289" max="2289" width="4.25" style="69" customWidth="1"/>
    <col min="2290" max="2290" width="11.75" style="69" customWidth="1"/>
    <col min="2291" max="2291" width="11.375" style="69" bestFit="1" customWidth="1"/>
    <col min="2292" max="2310" width="0" style="69" hidden="1" customWidth="1"/>
    <col min="2311" max="2533" width="7" style="69"/>
    <col min="2534" max="2534" width="12.375" style="69" customWidth="1"/>
    <col min="2535" max="2536" width="7.625" style="69" customWidth="1"/>
    <col min="2537" max="2537" width="14.375" style="69" customWidth="1"/>
    <col min="2538" max="2538" width="6.5" style="69" customWidth="1"/>
    <col min="2539" max="2539" width="3.75" style="69" customWidth="1"/>
    <col min="2540" max="2541" width="8.75" style="69" customWidth="1"/>
    <col min="2542" max="2542" width="3.75" style="69" customWidth="1"/>
    <col min="2543" max="2543" width="15.5" style="69" customWidth="1"/>
    <col min="2544" max="2544" width="38.625" style="69" customWidth="1"/>
    <col min="2545" max="2545" width="4.25" style="69" customWidth="1"/>
    <col min="2546" max="2546" width="11.75" style="69" customWidth="1"/>
    <col min="2547" max="2547" width="11.375" style="69" bestFit="1" customWidth="1"/>
    <col min="2548" max="2566" width="0" style="69" hidden="1" customWidth="1"/>
    <col min="2567" max="2789" width="7" style="69"/>
    <col min="2790" max="2790" width="12.375" style="69" customWidth="1"/>
    <col min="2791" max="2792" width="7.625" style="69" customWidth="1"/>
    <col min="2793" max="2793" width="14.375" style="69" customWidth="1"/>
    <col min="2794" max="2794" width="6.5" style="69" customWidth="1"/>
    <col min="2795" max="2795" width="3.75" style="69" customWidth="1"/>
    <col min="2796" max="2797" width="8.75" style="69" customWidth="1"/>
    <col min="2798" max="2798" width="3.75" style="69" customWidth="1"/>
    <col min="2799" max="2799" width="15.5" style="69" customWidth="1"/>
    <col min="2800" max="2800" width="38.625" style="69" customWidth="1"/>
    <col min="2801" max="2801" width="4.25" style="69" customWidth="1"/>
    <col min="2802" max="2802" width="11.75" style="69" customWidth="1"/>
    <col min="2803" max="2803" width="11.375" style="69" bestFit="1" customWidth="1"/>
    <col min="2804" max="2822" width="0" style="69" hidden="1" customWidth="1"/>
    <col min="2823" max="3045" width="7" style="69"/>
    <col min="3046" max="3046" width="12.375" style="69" customWidth="1"/>
    <col min="3047" max="3048" width="7.625" style="69" customWidth="1"/>
    <col min="3049" max="3049" width="14.375" style="69" customWidth="1"/>
    <col min="3050" max="3050" width="6.5" style="69" customWidth="1"/>
    <col min="3051" max="3051" width="3.75" style="69" customWidth="1"/>
    <col min="3052" max="3053" width="8.75" style="69" customWidth="1"/>
    <col min="3054" max="3054" width="3.75" style="69" customWidth="1"/>
    <col min="3055" max="3055" width="15.5" style="69" customWidth="1"/>
    <col min="3056" max="3056" width="38.625" style="69" customWidth="1"/>
    <col min="3057" max="3057" width="4.25" style="69" customWidth="1"/>
    <col min="3058" max="3058" width="11.75" style="69" customWidth="1"/>
    <col min="3059" max="3059" width="11.375" style="69" bestFit="1" customWidth="1"/>
    <col min="3060" max="3078" width="0" style="69" hidden="1" customWidth="1"/>
    <col min="3079" max="3301" width="7" style="69"/>
    <col min="3302" max="3302" width="12.375" style="69" customWidth="1"/>
    <col min="3303" max="3304" width="7.625" style="69" customWidth="1"/>
    <col min="3305" max="3305" width="14.375" style="69" customWidth="1"/>
    <col min="3306" max="3306" width="6.5" style="69" customWidth="1"/>
    <col min="3307" max="3307" width="3.75" style="69" customWidth="1"/>
    <col min="3308" max="3309" width="8.75" style="69" customWidth="1"/>
    <col min="3310" max="3310" width="3.75" style="69" customWidth="1"/>
    <col min="3311" max="3311" width="15.5" style="69" customWidth="1"/>
    <col min="3312" max="3312" width="38.625" style="69" customWidth="1"/>
    <col min="3313" max="3313" width="4.25" style="69" customWidth="1"/>
    <col min="3314" max="3314" width="11.75" style="69" customWidth="1"/>
    <col min="3315" max="3315" width="11.375" style="69" bestFit="1" customWidth="1"/>
    <col min="3316" max="3334" width="0" style="69" hidden="1" customWidth="1"/>
    <col min="3335" max="3557" width="7" style="69"/>
    <col min="3558" max="3558" width="12.375" style="69" customWidth="1"/>
    <col min="3559" max="3560" width="7.625" style="69" customWidth="1"/>
    <col min="3561" max="3561" width="14.375" style="69" customWidth="1"/>
    <col min="3562" max="3562" width="6.5" style="69" customWidth="1"/>
    <col min="3563" max="3563" width="3.75" style="69" customWidth="1"/>
    <col min="3564" max="3565" width="8.75" style="69" customWidth="1"/>
    <col min="3566" max="3566" width="3.75" style="69" customWidth="1"/>
    <col min="3567" max="3567" width="15.5" style="69" customWidth="1"/>
    <col min="3568" max="3568" width="38.625" style="69" customWidth="1"/>
    <col min="3569" max="3569" width="4.25" style="69" customWidth="1"/>
    <col min="3570" max="3570" width="11.75" style="69" customWidth="1"/>
    <col min="3571" max="3571" width="11.375" style="69" bestFit="1" customWidth="1"/>
    <col min="3572" max="3590" width="0" style="69" hidden="1" customWidth="1"/>
    <col min="3591" max="3813" width="7" style="69"/>
    <col min="3814" max="3814" width="12.375" style="69" customWidth="1"/>
    <col min="3815" max="3816" width="7.625" style="69" customWidth="1"/>
    <col min="3817" max="3817" width="14.375" style="69" customWidth="1"/>
    <col min="3818" max="3818" width="6.5" style="69" customWidth="1"/>
    <col min="3819" max="3819" width="3.75" style="69" customWidth="1"/>
    <col min="3820" max="3821" width="8.75" style="69" customWidth="1"/>
    <col min="3822" max="3822" width="3.75" style="69" customWidth="1"/>
    <col min="3823" max="3823" width="15.5" style="69" customWidth="1"/>
    <col min="3824" max="3824" width="38.625" style="69" customWidth="1"/>
    <col min="3825" max="3825" width="4.25" style="69" customWidth="1"/>
    <col min="3826" max="3826" width="11.75" style="69" customWidth="1"/>
    <col min="3827" max="3827" width="11.375" style="69" bestFit="1" customWidth="1"/>
    <col min="3828" max="3846" width="0" style="69" hidden="1" customWidth="1"/>
    <col min="3847" max="4069" width="7" style="69"/>
    <col min="4070" max="4070" width="12.375" style="69" customWidth="1"/>
    <col min="4071" max="4072" width="7.625" style="69" customWidth="1"/>
    <col min="4073" max="4073" width="14.375" style="69" customWidth="1"/>
    <col min="4074" max="4074" width="6.5" style="69" customWidth="1"/>
    <col min="4075" max="4075" width="3.75" style="69" customWidth="1"/>
    <col min="4076" max="4077" width="8.75" style="69" customWidth="1"/>
    <col min="4078" max="4078" width="3.75" style="69" customWidth="1"/>
    <col min="4079" max="4079" width="15.5" style="69" customWidth="1"/>
    <col min="4080" max="4080" width="38.625" style="69" customWidth="1"/>
    <col min="4081" max="4081" width="4.25" style="69" customWidth="1"/>
    <col min="4082" max="4082" width="11.75" style="69" customWidth="1"/>
    <col min="4083" max="4083" width="11.375" style="69" bestFit="1" customWidth="1"/>
    <col min="4084" max="4102" width="0" style="69" hidden="1" customWidth="1"/>
    <col min="4103" max="4325" width="7" style="69"/>
    <col min="4326" max="4326" width="12.375" style="69" customWidth="1"/>
    <col min="4327" max="4328" width="7.625" style="69" customWidth="1"/>
    <col min="4329" max="4329" width="14.375" style="69" customWidth="1"/>
    <col min="4330" max="4330" width="6.5" style="69" customWidth="1"/>
    <col min="4331" max="4331" width="3.75" style="69" customWidth="1"/>
    <col min="4332" max="4333" width="8.75" style="69" customWidth="1"/>
    <col min="4334" max="4334" width="3.75" style="69" customWidth="1"/>
    <col min="4335" max="4335" width="15.5" style="69" customWidth="1"/>
    <col min="4336" max="4336" width="38.625" style="69" customWidth="1"/>
    <col min="4337" max="4337" width="4.25" style="69" customWidth="1"/>
    <col min="4338" max="4338" width="11.75" style="69" customWidth="1"/>
    <col min="4339" max="4339" width="11.375" style="69" bestFit="1" customWidth="1"/>
    <col min="4340" max="4358" width="0" style="69" hidden="1" customWidth="1"/>
    <col min="4359" max="4581" width="7" style="69"/>
    <col min="4582" max="4582" width="12.375" style="69" customWidth="1"/>
    <col min="4583" max="4584" width="7.625" style="69" customWidth="1"/>
    <col min="4585" max="4585" width="14.375" style="69" customWidth="1"/>
    <col min="4586" max="4586" width="6.5" style="69" customWidth="1"/>
    <col min="4587" max="4587" width="3.75" style="69" customWidth="1"/>
    <col min="4588" max="4589" width="8.75" style="69" customWidth="1"/>
    <col min="4590" max="4590" width="3.75" style="69" customWidth="1"/>
    <col min="4591" max="4591" width="15.5" style="69" customWidth="1"/>
    <col min="4592" max="4592" width="38.625" style="69" customWidth="1"/>
    <col min="4593" max="4593" width="4.25" style="69" customWidth="1"/>
    <col min="4594" max="4594" width="11.75" style="69" customWidth="1"/>
    <col min="4595" max="4595" width="11.375" style="69" bestFit="1" customWidth="1"/>
    <col min="4596" max="4614" width="0" style="69" hidden="1" customWidth="1"/>
    <col min="4615" max="4837" width="7" style="69"/>
    <col min="4838" max="4838" width="12.375" style="69" customWidth="1"/>
    <col min="4839" max="4840" width="7.625" style="69" customWidth="1"/>
    <col min="4841" max="4841" width="14.375" style="69" customWidth="1"/>
    <col min="4842" max="4842" width="6.5" style="69" customWidth="1"/>
    <col min="4843" max="4843" width="3.75" style="69" customWidth="1"/>
    <col min="4844" max="4845" width="8.75" style="69" customWidth="1"/>
    <col min="4846" max="4846" width="3.75" style="69" customWidth="1"/>
    <col min="4847" max="4847" width="15.5" style="69" customWidth="1"/>
    <col min="4848" max="4848" width="38.625" style="69" customWidth="1"/>
    <col min="4849" max="4849" width="4.25" style="69" customWidth="1"/>
    <col min="4850" max="4850" width="11.75" style="69" customWidth="1"/>
    <col min="4851" max="4851" width="11.375" style="69" bestFit="1" customWidth="1"/>
    <col min="4852" max="4870" width="0" style="69" hidden="1" customWidth="1"/>
    <col min="4871" max="5093" width="7" style="69"/>
    <col min="5094" max="5094" width="12.375" style="69" customWidth="1"/>
    <col min="5095" max="5096" width="7.625" style="69" customWidth="1"/>
    <col min="5097" max="5097" width="14.375" style="69" customWidth="1"/>
    <col min="5098" max="5098" width="6.5" style="69" customWidth="1"/>
    <col min="5099" max="5099" width="3.75" style="69" customWidth="1"/>
    <col min="5100" max="5101" width="8.75" style="69" customWidth="1"/>
    <col min="5102" max="5102" width="3.75" style="69" customWidth="1"/>
    <col min="5103" max="5103" width="15.5" style="69" customWidth="1"/>
    <col min="5104" max="5104" width="38.625" style="69" customWidth="1"/>
    <col min="5105" max="5105" width="4.25" style="69" customWidth="1"/>
    <col min="5106" max="5106" width="11.75" style="69" customWidth="1"/>
    <col min="5107" max="5107" width="11.375" style="69" bestFit="1" customWidth="1"/>
    <col min="5108" max="5126" width="0" style="69" hidden="1" customWidth="1"/>
    <col min="5127" max="5349" width="7" style="69"/>
    <col min="5350" max="5350" width="12.375" style="69" customWidth="1"/>
    <col min="5351" max="5352" width="7.625" style="69" customWidth="1"/>
    <col min="5353" max="5353" width="14.375" style="69" customWidth="1"/>
    <col min="5354" max="5354" width="6.5" style="69" customWidth="1"/>
    <col min="5355" max="5355" width="3.75" style="69" customWidth="1"/>
    <col min="5356" max="5357" width="8.75" style="69" customWidth="1"/>
    <col min="5358" max="5358" width="3.75" style="69" customWidth="1"/>
    <col min="5359" max="5359" width="15.5" style="69" customWidth="1"/>
    <col min="5360" max="5360" width="38.625" style="69" customWidth="1"/>
    <col min="5361" max="5361" width="4.25" style="69" customWidth="1"/>
    <col min="5362" max="5362" width="11.75" style="69" customWidth="1"/>
    <col min="5363" max="5363" width="11.375" style="69" bestFit="1" customWidth="1"/>
    <col min="5364" max="5382" width="0" style="69" hidden="1" customWidth="1"/>
    <col min="5383" max="5605" width="7" style="69"/>
    <col min="5606" max="5606" width="12.375" style="69" customWidth="1"/>
    <col min="5607" max="5608" width="7.625" style="69" customWidth="1"/>
    <col min="5609" max="5609" width="14.375" style="69" customWidth="1"/>
    <col min="5610" max="5610" width="6.5" style="69" customWidth="1"/>
    <col min="5611" max="5611" width="3.75" style="69" customWidth="1"/>
    <col min="5612" max="5613" width="8.75" style="69" customWidth="1"/>
    <col min="5614" max="5614" width="3.75" style="69" customWidth="1"/>
    <col min="5615" max="5615" width="15.5" style="69" customWidth="1"/>
    <col min="5616" max="5616" width="38.625" style="69" customWidth="1"/>
    <col min="5617" max="5617" width="4.25" style="69" customWidth="1"/>
    <col min="5618" max="5618" width="11.75" style="69" customWidth="1"/>
    <col min="5619" max="5619" width="11.375" style="69" bestFit="1" customWidth="1"/>
    <col min="5620" max="5638" width="0" style="69" hidden="1" customWidth="1"/>
    <col min="5639" max="5861" width="7" style="69"/>
    <col min="5862" max="5862" width="12.375" style="69" customWidth="1"/>
    <col min="5863" max="5864" width="7.625" style="69" customWidth="1"/>
    <col min="5865" max="5865" width="14.375" style="69" customWidth="1"/>
    <col min="5866" max="5866" width="6.5" style="69" customWidth="1"/>
    <col min="5867" max="5867" width="3.75" style="69" customWidth="1"/>
    <col min="5868" max="5869" width="8.75" style="69" customWidth="1"/>
    <col min="5870" max="5870" width="3.75" style="69" customWidth="1"/>
    <col min="5871" max="5871" width="15.5" style="69" customWidth="1"/>
    <col min="5872" max="5872" width="38.625" style="69" customWidth="1"/>
    <col min="5873" max="5873" width="4.25" style="69" customWidth="1"/>
    <col min="5874" max="5874" width="11.75" style="69" customWidth="1"/>
    <col min="5875" max="5875" width="11.375" style="69" bestFit="1" customWidth="1"/>
    <col min="5876" max="5894" width="0" style="69" hidden="1" customWidth="1"/>
    <col min="5895" max="6117" width="7" style="69"/>
    <col min="6118" max="6118" width="12.375" style="69" customWidth="1"/>
    <col min="6119" max="6120" width="7.625" style="69" customWidth="1"/>
    <col min="6121" max="6121" width="14.375" style="69" customWidth="1"/>
    <col min="6122" max="6122" width="6.5" style="69" customWidth="1"/>
    <col min="6123" max="6123" width="3.75" style="69" customWidth="1"/>
    <col min="6124" max="6125" width="8.75" style="69" customWidth="1"/>
    <col min="6126" max="6126" width="3.75" style="69" customWidth="1"/>
    <col min="6127" max="6127" width="15.5" style="69" customWidth="1"/>
    <col min="6128" max="6128" width="38.625" style="69" customWidth="1"/>
    <col min="6129" max="6129" width="4.25" style="69" customWidth="1"/>
    <col min="6130" max="6130" width="11.75" style="69" customWidth="1"/>
    <col min="6131" max="6131" width="11.375" style="69" bestFit="1" customWidth="1"/>
    <col min="6132" max="6150" width="0" style="69" hidden="1" customWidth="1"/>
    <col min="6151" max="6373" width="7" style="69"/>
    <col min="6374" max="6374" width="12.375" style="69" customWidth="1"/>
    <col min="6375" max="6376" width="7.625" style="69" customWidth="1"/>
    <col min="6377" max="6377" width="14.375" style="69" customWidth="1"/>
    <col min="6378" max="6378" width="6.5" style="69" customWidth="1"/>
    <col min="6379" max="6379" width="3.75" style="69" customWidth="1"/>
    <col min="6380" max="6381" width="8.75" style="69" customWidth="1"/>
    <col min="6382" max="6382" width="3.75" style="69" customWidth="1"/>
    <col min="6383" max="6383" width="15.5" style="69" customWidth="1"/>
    <col min="6384" max="6384" width="38.625" style="69" customWidth="1"/>
    <col min="6385" max="6385" width="4.25" style="69" customWidth="1"/>
    <col min="6386" max="6386" width="11.75" style="69" customWidth="1"/>
    <col min="6387" max="6387" width="11.375" style="69" bestFit="1" customWidth="1"/>
    <col min="6388" max="6406" width="0" style="69" hidden="1" customWidth="1"/>
    <col min="6407" max="6629" width="7" style="69"/>
    <col min="6630" max="6630" width="12.375" style="69" customWidth="1"/>
    <col min="6631" max="6632" width="7.625" style="69" customWidth="1"/>
    <col min="6633" max="6633" width="14.375" style="69" customWidth="1"/>
    <col min="6634" max="6634" width="6.5" style="69" customWidth="1"/>
    <col min="6635" max="6635" width="3.75" style="69" customWidth="1"/>
    <col min="6636" max="6637" width="8.75" style="69" customWidth="1"/>
    <col min="6638" max="6638" width="3.75" style="69" customWidth="1"/>
    <col min="6639" max="6639" width="15.5" style="69" customWidth="1"/>
    <col min="6640" max="6640" width="38.625" style="69" customWidth="1"/>
    <col min="6641" max="6641" width="4.25" style="69" customWidth="1"/>
    <col min="6642" max="6642" width="11.75" style="69" customWidth="1"/>
    <col min="6643" max="6643" width="11.375" style="69" bestFit="1" customWidth="1"/>
    <col min="6644" max="6662" width="0" style="69" hidden="1" customWidth="1"/>
    <col min="6663" max="6885" width="7" style="69"/>
    <col min="6886" max="6886" width="12.375" style="69" customWidth="1"/>
    <col min="6887" max="6888" width="7.625" style="69" customWidth="1"/>
    <col min="6889" max="6889" width="14.375" style="69" customWidth="1"/>
    <col min="6890" max="6890" width="6.5" style="69" customWidth="1"/>
    <col min="6891" max="6891" width="3.75" style="69" customWidth="1"/>
    <col min="6892" max="6893" width="8.75" style="69" customWidth="1"/>
    <col min="6894" max="6894" width="3.75" style="69" customWidth="1"/>
    <col min="6895" max="6895" width="15.5" style="69" customWidth="1"/>
    <col min="6896" max="6896" width="38.625" style="69" customWidth="1"/>
    <col min="6897" max="6897" width="4.25" style="69" customWidth="1"/>
    <col min="6898" max="6898" width="11.75" style="69" customWidth="1"/>
    <col min="6899" max="6899" width="11.375" style="69" bestFit="1" customWidth="1"/>
    <col min="6900" max="6918" width="0" style="69" hidden="1" customWidth="1"/>
    <col min="6919" max="7141" width="7" style="69"/>
    <col min="7142" max="7142" width="12.375" style="69" customWidth="1"/>
    <col min="7143" max="7144" width="7.625" style="69" customWidth="1"/>
    <col min="7145" max="7145" width="14.375" style="69" customWidth="1"/>
    <col min="7146" max="7146" width="6.5" style="69" customWidth="1"/>
    <col min="7147" max="7147" width="3.75" style="69" customWidth="1"/>
    <col min="7148" max="7149" width="8.75" style="69" customWidth="1"/>
    <col min="7150" max="7150" width="3.75" style="69" customWidth="1"/>
    <col min="7151" max="7151" width="15.5" style="69" customWidth="1"/>
    <col min="7152" max="7152" width="38.625" style="69" customWidth="1"/>
    <col min="7153" max="7153" width="4.25" style="69" customWidth="1"/>
    <col min="7154" max="7154" width="11.75" style="69" customWidth="1"/>
    <col min="7155" max="7155" width="11.375" style="69" bestFit="1" customWidth="1"/>
    <col min="7156" max="7174" width="0" style="69" hidden="1" customWidth="1"/>
    <col min="7175" max="7397" width="7" style="69"/>
    <col min="7398" max="7398" width="12.375" style="69" customWidth="1"/>
    <col min="7399" max="7400" width="7.625" style="69" customWidth="1"/>
    <col min="7401" max="7401" width="14.375" style="69" customWidth="1"/>
    <col min="7402" max="7402" width="6.5" style="69" customWidth="1"/>
    <col min="7403" max="7403" width="3.75" style="69" customWidth="1"/>
    <col min="7404" max="7405" width="8.75" style="69" customWidth="1"/>
    <col min="7406" max="7406" width="3.75" style="69" customWidth="1"/>
    <col min="7407" max="7407" width="15.5" style="69" customWidth="1"/>
    <col min="7408" max="7408" width="38.625" style="69" customWidth="1"/>
    <col min="7409" max="7409" width="4.25" style="69" customWidth="1"/>
    <col min="7410" max="7410" width="11.75" style="69" customWidth="1"/>
    <col min="7411" max="7411" width="11.375" style="69" bestFit="1" customWidth="1"/>
    <col min="7412" max="7430" width="0" style="69" hidden="1" customWidth="1"/>
    <col min="7431" max="7653" width="7" style="69"/>
    <col min="7654" max="7654" width="12.375" style="69" customWidth="1"/>
    <col min="7655" max="7656" width="7.625" style="69" customWidth="1"/>
    <col min="7657" max="7657" width="14.375" style="69" customWidth="1"/>
    <col min="7658" max="7658" width="6.5" style="69" customWidth="1"/>
    <col min="7659" max="7659" width="3.75" style="69" customWidth="1"/>
    <col min="7660" max="7661" width="8.75" style="69" customWidth="1"/>
    <col min="7662" max="7662" width="3.75" style="69" customWidth="1"/>
    <col min="7663" max="7663" width="15.5" style="69" customWidth="1"/>
    <col min="7664" max="7664" width="38.625" style="69" customWidth="1"/>
    <col min="7665" max="7665" width="4.25" style="69" customWidth="1"/>
    <col min="7666" max="7666" width="11.75" style="69" customWidth="1"/>
    <col min="7667" max="7667" width="11.375" style="69" bestFit="1" customWidth="1"/>
    <col min="7668" max="7686" width="0" style="69" hidden="1" customWidth="1"/>
    <col min="7687" max="7909" width="7" style="69"/>
    <col min="7910" max="7910" width="12.375" style="69" customWidth="1"/>
    <col min="7911" max="7912" width="7.625" style="69" customWidth="1"/>
    <col min="7913" max="7913" width="14.375" style="69" customWidth="1"/>
    <col min="7914" max="7914" width="6.5" style="69" customWidth="1"/>
    <col min="7915" max="7915" width="3.75" style="69" customWidth="1"/>
    <col min="7916" max="7917" width="8.75" style="69" customWidth="1"/>
    <col min="7918" max="7918" width="3.75" style="69" customWidth="1"/>
    <col min="7919" max="7919" width="15.5" style="69" customWidth="1"/>
    <col min="7920" max="7920" width="38.625" style="69" customWidth="1"/>
    <col min="7921" max="7921" width="4.25" style="69" customWidth="1"/>
    <col min="7922" max="7922" width="11.75" style="69" customWidth="1"/>
    <col min="7923" max="7923" width="11.375" style="69" bestFit="1" customWidth="1"/>
    <col min="7924" max="7942" width="0" style="69" hidden="1" customWidth="1"/>
    <col min="7943" max="8165" width="7" style="69"/>
    <col min="8166" max="8166" width="12.375" style="69" customWidth="1"/>
    <col min="8167" max="8168" width="7.625" style="69" customWidth="1"/>
    <col min="8169" max="8169" width="14.375" style="69" customWidth="1"/>
    <col min="8170" max="8170" width="6.5" style="69" customWidth="1"/>
    <col min="8171" max="8171" width="3.75" style="69" customWidth="1"/>
    <col min="8172" max="8173" width="8.75" style="69" customWidth="1"/>
    <col min="8174" max="8174" width="3.75" style="69" customWidth="1"/>
    <col min="8175" max="8175" width="15.5" style="69" customWidth="1"/>
    <col min="8176" max="8176" width="38.625" style="69" customWidth="1"/>
    <col min="8177" max="8177" width="4.25" style="69" customWidth="1"/>
    <col min="8178" max="8178" width="11.75" style="69" customWidth="1"/>
    <col min="8179" max="8179" width="11.375" style="69" bestFit="1" customWidth="1"/>
    <col min="8180" max="8198" width="0" style="69" hidden="1" customWidth="1"/>
    <col min="8199" max="8421" width="7" style="69"/>
    <col min="8422" max="8422" width="12.375" style="69" customWidth="1"/>
    <col min="8423" max="8424" width="7.625" style="69" customWidth="1"/>
    <col min="8425" max="8425" width="14.375" style="69" customWidth="1"/>
    <col min="8426" max="8426" width="6.5" style="69" customWidth="1"/>
    <col min="8427" max="8427" width="3.75" style="69" customWidth="1"/>
    <col min="8428" max="8429" width="8.75" style="69" customWidth="1"/>
    <col min="8430" max="8430" width="3.75" style="69" customWidth="1"/>
    <col min="8431" max="8431" width="15.5" style="69" customWidth="1"/>
    <col min="8432" max="8432" width="38.625" style="69" customWidth="1"/>
    <col min="8433" max="8433" width="4.25" style="69" customWidth="1"/>
    <col min="8434" max="8434" width="11.75" style="69" customWidth="1"/>
    <col min="8435" max="8435" width="11.375" style="69" bestFit="1" customWidth="1"/>
    <col min="8436" max="8454" width="0" style="69" hidden="1" customWidth="1"/>
    <col min="8455" max="8677" width="7" style="69"/>
    <col min="8678" max="8678" width="12.375" style="69" customWidth="1"/>
    <col min="8679" max="8680" width="7.625" style="69" customWidth="1"/>
    <col min="8681" max="8681" width="14.375" style="69" customWidth="1"/>
    <col min="8682" max="8682" width="6.5" style="69" customWidth="1"/>
    <col min="8683" max="8683" width="3.75" style="69" customWidth="1"/>
    <col min="8684" max="8685" width="8.75" style="69" customWidth="1"/>
    <col min="8686" max="8686" width="3.75" style="69" customWidth="1"/>
    <col min="8687" max="8687" width="15.5" style="69" customWidth="1"/>
    <col min="8688" max="8688" width="38.625" style="69" customWidth="1"/>
    <col min="8689" max="8689" width="4.25" style="69" customWidth="1"/>
    <col min="8690" max="8690" width="11.75" style="69" customWidth="1"/>
    <col min="8691" max="8691" width="11.375" style="69" bestFit="1" customWidth="1"/>
    <col min="8692" max="8710" width="0" style="69" hidden="1" customWidth="1"/>
    <col min="8711" max="8933" width="7" style="69"/>
    <col min="8934" max="8934" width="12.375" style="69" customWidth="1"/>
    <col min="8935" max="8936" width="7.625" style="69" customWidth="1"/>
    <col min="8937" max="8937" width="14.375" style="69" customWidth="1"/>
    <col min="8938" max="8938" width="6.5" style="69" customWidth="1"/>
    <col min="8939" max="8939" width="3.75" style="69" customWidth="1"/>
    <col min="8940" max="8941" width="8.75" style="69" customWidth="1"/>
    <col min="8942" max="8942" width="3.75" style="69" customWidth="1"/>
    <col min="8943" max="8943" width="15.5" style="69" customWidth="1"/>
    <col min="8944" max="8944" width="38.625" style="69" customWidth="1"/>
    <col min="8945" max="8945" width="4.25" style="69" customWidth="1"/>
    <col min="8946" max="8946" width="11.75" style="69" customWidth="1"/>
    <col min="8947" max="8947" width="11.375" style="69" bestFit="1" customWidth="1"/>
    <col min="8948" max="8966" width="0" style="69" hidden="1" customWidth="1"/>
    <col min="8967" max="9189" width="7" style="69"/>
    <col min="9190" max="9190" width="12.375" style="69" customWidth="1"/>
    <col min="9191" max="9192" width="7.625" style="69" customWidth="1"/>
    <col min="9193" max="9193" width="14.375" style="69" customWidth="1"/>
    <col min="9194" max="9194" width="6.5" style="69" customWidth="1"/>
    <col min="9195" max="9195" width="3.75" style="69" customWidth="1"/>
    <col min="9196" max="9197" width="8.75" style="69" customWidth="1"/>
    <col min="9198" max="9198" width="3.75" style="69" customWidth="1"/>
    <col min="9199" max="9199" width="15.5" style="69" customWidth="1"/>
    <col min="9200" max="9200" width="38.625" style="69" customWidth="1"/>
    <col min="9201" max="9201" width="4.25" style="69" customWidth="1"/>
    <col min="9202" max="9202" width="11.75" style="69" customWidth="1"/>
    <col min="9203" max="9203" width="11.375" style="69" bestFit="1" customWidth="1"/>
    <col min="9204" max="9222" width="0" style="69" hidden="1" customWidth="1"/>
    <col min="9223" max="9445" width="7" style="69"/>
    <col min="9446" max="9446" width="12.375" style="69" customWidth="1"/>
    <col min="9447" max="9448" width="7.625" style="69" customWidth="1"/>
    <col min="9449" max="9449" width="14.375" style="69" customWidth="1"/>
    <col min="9450" max="9450" width="6.5" style="69" customWidth="1"/>
    <col min="9451" max="9451" width="3.75" style="69" customWidth="1"/>
    <col min="9452" max="9453" width="8.75" style="69" customWidth="1"/>
    <col min="9454" max="9454" width="3.75" style="69" customWidth="1"/>
    <col min="9455" max="9455" width="15.5" style="69" customWidth="1"/>
    <col min="9456" max="9456" width="38.625" style="69" customWidth="1"/>
    <col min="9457" max="9457" width="4.25" style="69" customWidth="1"/>
    <col min="9458" max="9458" width="11.75" style="69" customWidth="1"/>
    <col min="9459" max="9459" width="11.375" style="69" bestFit="1" customWidth="1"/>
    <col min="9460" max="9478" width="0" style="69" hidden="1" customWidth="1"/>
    <col min="9479" max="9701" width="7" style="69"/>
    <col min="9702" max="9702" width="12.375" style="69" customWidth="1"/>
    <col min="9703" max="9704" width="7.625" style="69" customWidth="1"/>
    <col min="9705" max="9705" width="14.375" style="69" customWidth="1"/>
    <col min="9706" max="9706" width="6.5" style="69" customWidth="1"/>
    <col min="9707" max="9707" width="3.75" style="69" customWidth="1"/>
    <col min="9708" max="9709" width="8.75" style="69" customWidth="1"/>
    <col min="9710" max="9710" width="3.75" style="69" customWidth="1"/>
    <col min="9711" max="9711" width="15.5" style="69" customWidth="1"/>
    <col min="9712" max="9712" width="38.625" style="69" customWidth="1"/>
    <col min="9713" max="9713" width="4.25" style="69" customWidth="1"/>
    <col min="9714" max="9714" width="11.75" style="69" customWidth="1"/>
    <col min="9715" max="9715" width="11.375" style="69" bestFit="1" customWidth="1"/>
    <col min="9716" max="9734" width="0" style="69" hidden="1" customWidth="1"/>
    <col min="9735" max="9957" width="7" style="69"/>
    <col min="9958" max="9958" width="12.375" style="69" customWidth="1"/>
    <col min="9959" max="9960" width="7.625" style="69" customWidth="1"/>
    <col min="9961" max="9961" width="14.375" style="69" customWidth="1"/>
    <col min="9962" max="9962" width="6.5" style="69" customWidth="1"/>
    <col min="9963" max="9963" width="3.75" style="69" customWidth="1"/>
    <col min="9964" max="9965" width="8.75" style="69" customWidth="1"/>
    <col min="9966" max="9966" width="3.75" style="69" customWidth="1"/>
    <col min="9967" max="9967" width="15.5" style="69" customWidth="1"/>
    <col min="9968" max="9968" width="38.625" style="69" customWidth="1"/>
    <col min="9969" max="9969" width="4.25" style="69" customWidth="1"/>
    <col min="9970" max="9970" width="11.75" style="69" customWidth="1"/>
    <col min="9971" max="9971" width="11.375" style="69" bestFit="1" customWidth="1"/>
    <col min="9972" max="9990" width="0" style="69" hidden="1" customWidth="1"/>
    <col min="9991" max="10213" width="7" style="69"/>
    <col min="10214" max="10214" width="12.375" style="69" customWidth="1"/>
    <col min="10215" max="10216" width="7.625" style="69" customWidth="1"/>
    <col min="10217" max="10217" width="14.375" style="69" customWidth="1"/>
    <col min="10218" max="10218" width="6.5" style="69" customWidth="1"/>
    <col min="10219" max="10219" width="3.75" style="69" customWidth="1"/>
    <col min="10220" max="10221" width="8.75" style="69" customWidth="1"/>
    <col min="10222" max="10222" width="3.75" style="69" customWidth="1"/>
    <col min="10223" max="10223" width="15.5" style="69" customWidth="1"/>
    <col min="10224" max="10224" width="38.625" style="69" customWidth="1"/>
    <col min="10225" max="10225" width="4.25" style="69" customWidth="1"/>
    <col min="10226" max="10226" width="11.75" style="69" customWidth="1"/>
    <col min="10227" max="10227" width="11.375" style="69" bestFit="1" customWidth="1"/>
    <col min="10228" max="10246" width="0" style="69" hidden="1" customWidth="1"/>
    <col min="10247" max="10469" width="7" style="69"/>
    <col min="10470" max="10470" width="12.375" style="69" customWidth="1"/>
    <col min="10471" max="10472" width="7.625" style="69" customWidth="1"/>
    <col min="10473" max="10473" width="14.375" style="69" customWidth="1"/>
    <col min="10474" max="10474" width="6.5" style="69" customWidth="1"/>
    <col min="10475" max="10475" width="3.75" style="69" customWidth="1"/>
    <col min="10476" max="10477" width="8.75" style="69" customWidth="1"/>
    <col min="10478" max="10478" width="3.75" style="69" customWidth="1"/>
    <col min="10479" max="10479" width="15.5" style="69" customWidth="1"/>
    <col min="10480" max="10480" width="38.625" style="69" customWidth="1"/>
    <col min="10481" max="10481" width="4.25" style="69" customWidth="1"/>
    <col min="10482" max="10482" width="11.75" style="69" customWidth="1"/>
    <col min="10483" max="10483" width="11.375" style="69" bestFit="1" customWidth="1"/>
    <col min="10484" max="10502" width="0" style="69" hidden="1" customWidth="1"/>
    <col min="10503" max="10725" width="7" style="69"/>
    <col min="10726" max="10726" width="12.375" style="69" customWidth="1"/>
    <col min="10727" max="10728" width="7.625" style="69" customWidth="1"/>
    <col min="10729" max="10729" width="14.375" style="69" customWidth="1"/>
    <col min="10730" max="10730" width="6.5" style="69" customWidth="1"/>
    <col min="10731" max="10731" width="3.75" style="69" customWidth="1"/>
    <col min="10732" max="10733" width="8.75" style="69" customWidth="1"/>
    <col min="10734" max="10734" width="3.75" style="69" customWidth="1"/>
    <col min="10735" max="10735" width="15.5" style="69" customWidth="1"/>
    <col min="10736" max="10736" width="38.625" style="69" customWidth="1"/>
    <col min="10737" max="10737" width="4.25" style="69" customWidth="1"/>
    <col min="10738" max="10738" width="11.75" style="69" customWidth="1"/>
    <col min="10739" max="10739" width="11.375" style="69" bestFit="1" customWidth="1"/>
    <col min="10740" max="10758" width="0" style="69" hidden="1" customWidth="1"/>
    <col min="10759" max="10981" width="7" style="69"/>
    <col min="10982" max="10982" width="12.375" style="69" customWidth="1"/>
    <col min="10983" max="10984" width="7.625" style="69" customWidth="1"/>
    <col min="10985" max="10985" width="14.375" style="69" customWidth="1"/>
    <col min="10986" max="10986" width="6.5" style="69" customWidth="1"/>
    <col min="10987" max="10987" width="3.75" style="69" customWidth="1"/>
    <col min="10988" max="10989" width="8.75" style="69" customWidth="1"/>
    <col min="10990" max="10990" width="3.75" style="69" customWidth="1"/>
    <col min="10991" max="10991" width="15.5" style="69" customWidth="1"/>
    <col min="10992" max="10992" width="38.625" style="69" customWidth="1"/>
    <col min="10993" max="10993" width="4.25" style="69" customWidth="1"/>
    <col min="10994" max="10994" width="11.75" style="69" customWidth="1"/>
    <col min="10995" max="10995" width="11.375" style="69" bestFit="1" customWidth="1"/>
    <col min="10996" max="11014" width="0" style="69" hidden="1" customWidth="1"/>
    <col min="11015" max="11237" width="7" style="69"/>
    <col min="11238" max="11238" width="12.375" style="69" customWidth="1"/>
    <col min="11239" max="11240" width="7.625" style="69" customWidth="1"/>
    <col min="11241" max="11241" width="14.375" style="69" customWidth="1"/>
    <col min="11242" max="11242" width="6.5" style="69" customWidth="1"/>
    <col min="11243" max="11243" width="3.75" style="69" customWidth="1"/>
    <col min="11244" max="11245" width="8.75" style="69" customWidth="1"/>
    <col min="11246" max="11246" width="3.75" style="69" customWidth="1"/>
    <col min="11247" max="11247" width="15.5" style="69" customWidth="1"/>
    <col min="11248" max="11248" width="38.625" style="69" customWidth="1"/>
    <col min="11249" max="11249" width="4.25" style="69" customWidth="1"/>
    <col min="11250" max="11250" width="11.75" style="69" customWidth="1"/>
    <col min="11251" max="11251" width="11.375" style="69" bestFit="1" customWidth="1"/>
    <col min="11252" max="11270" width="0" style="69" hidden="1" customWidth="1"/>
    <col min="11271" max="11493" width="7" style="69"/>
    <col min="11494" max="11494" width="12.375" style="69" customWidth="1"/>
    <col min="11495" max="11496" width="7.625" style="69" customWidth="1"/>
    <col min="11497" max="11497" width="14.375" style="69" customWidth="1"/>
    <col min="11498" max="11498" width="6.5" style="69" customWidth="1"/>
    <col min="11499" max="11499" width="3.75" style="69" customWidth="1"/>
    <col min="11500" max="11501" width="8.75" style="69" customWidth="1"/>
    <col min="11502" max="11502" width="3.75" style="69" customWidth="1"/>
    <col min="11503" max="11503" width="15.5" style="69" customWidth="1"/>
    <col min="11504" max="11504" width="38.625" style="69" customWidth="1"/>
    <col min="11505" max="11505" width="4.25" style="69" customWidth="1"/>
    <col min="11506" max="11506" width="11.75" style="69" customWidth="1"/>
    <col min="11507" max="11507" width="11.375" style="69" bestFit="1" customWidth="1"/>
    <col min="11508" max="11526" width="0" style="69" hidden="1" customWidth="1"/>
    <col min="11527" max="11749" width="7" style="69"/>
    <col min="11750" max="11750" width="12.375" style="69" customWidth="1"/>
    <col min="11751" max="11752" width="7.625" style="69" customWidth="1"/>
    <col min="11753" max="11753" width="14.375" style="69" customWidth="1"/>
    <col min="11754" max="11754" width="6.5" style="69" customWidth="1"/>
    <col min="11755" max="11755" width="3.75" style="69" customWidth="1"/>
    <col min="11756" max="11757" width="8.75" style="69" customWidth="1"/>
    <col min="11758" max="11758" width="3.75" style="69" customWidth="1"/>
    <col min="11759" max="11759" width="15.5" style="69" customWidth="1"/>
    <col min="11760" max="11760" width="38.625" style="69" customWidth="1"/>
    <col min="11761" max="11761" width="4.25" style="69" customWidth="1"/>
    <col min="11762" max="11762" width="11.75" style="69" customWidth="1"/>
    <col min="11763" max="11763" width="11.375" style="69" bestFit="1" customWidth="1"/>
    <col min="11764" max="11782" width="0" style="69" hidden="1" customWidth="1"/>
    <col min="11783" max="12005" width="7" style="69"/>
    <col min="12006" max="12006" width="12.375" style="69" customWidth="1"/>
    <col min="12007" max="12008" width="7.625" style="69" customWidth="1"/>
    <col min="12009" max="12009" width="14.375" style="69" customWidth="1"/>
    <col min="12010" max="12010" width="6.5" style="69" customWidth="1"/>
    <col min="12011" max="12011" width="3.75" style="69" customWidth="1"/>
    <col min="12012" max="12013" width="8.75" style="69" customWidth="1"/>
    <col min="12014" max="12014" width="3.75" style="69" customWidth="1"/>
    <col min="12015" max="12015" width="15.5" style="69" customWidth="1"/>
    <col min="12016" max="12016" width="38.625" style="69" customWidth="1"/>
    <col min="12017" max="12017" width="4.25" style="69" customWidth="1"/>
    <col min="12018" max="12018" width="11.75" style="69" customWidth="1"/>
    <col min="12019" max="12019" width="11.375" style="69" bestFit="1" customWidth="1"/>
    <col min="12020" max="12038" width="0" style="69" hidden="1" customWidth="1"/>
    <col min="12039" max="12261" width="7" style="69"/>
    <col min="12262" max="12262" width="12.375" style="69" customWidth="1"/>
    <col min="12263" max="12264" width="7.625" style="69" customWidth="1"/>
    <col min="12265" max="12265" width="14.375" style="69" customWidth="1"/>
    <col min="12266" max="12266" width="6.5" style="69" customWidth="1"/>
    <col min="12267" max="12267" width="3.75" style="69" customWidth="1"/>
    <col min="12268" max="12269" width="8.75" style="69" customWidth="1"/>
    <col min="12270" max="12270" width="3.75" style="69" customWidth="1"/>
    <col min="12271" max="12271" width="15.5" style="69" customWidth="1"/>
    <col min="12272" max="12272" width="38.625" style="69" customWidth="1"/>
    <col min="12273" max="12273" width="4.25" style="69" customWidth="1"/>
    <col min="12274" max="12274" width="11.75" style="69" customWidth="1"/>
    <col min="12275" max="12275" width="11.375" style="69" bestFit="1" customWidth="1"/>
    <col min="12276" max="12294" width="0" style="69" hidden="1" customWidth="1"/>
    <col min="12295" max="12517" width="7" style="69"/>
    <col min="12518" max="12518" width="12.375" style="69" customWidth="1"/>
    <col min="12519" max="12520" width="7.625" style="69" customWidth="1"/>
    <col min="12521" max="12521" width="14.375" style="69" customWidth="1"/>
    <col min="12522" max="12522" width="6.5" style="69" customWidth="1"/>
    <col min="12523" max="12523" width="3.75" style="69" customWidth="1"/>
    <col min="12524" max="12525" width="8.75" style="69" customWidth="1"/>
    <col min="12526" max="12526" width="3.75" style="69" customWidth="1"/>
    <col min="12527" max="12527" width="15.5" style="69" customWidth="1"/>
    <col min="12528" max="12528" width="38.625" style="69" customWidth="1"/>
    <col min="12529" max="12529" width="4.25" style="69" customWidth="1"/>
    <col min="12530" max="12530" width="11.75" style="69" customWidth="1"/>
    <col min="12531" max="12531" width="11.375" style="69" bestFit="1" customWidth="1"/>
    <col min="12532" max="12550" width="0" style="69" hidden="1" customWidth="1"/>
    <col min="12551" max="12773" width="7" style="69"/>
    <col min="12774" max="12774" width="12.375" style="69" customWidth="1"/>
    <col min="12775" max="12776" width="7.625" style="69" customWidth="1"/>
    <col min="12777" max="12777" width="14.375" style="69" customWidth="1"/>
    <col min="12778" max="12778" width="6.5" style="69" customWidth="1"/>
    <col min="12779" max="12779" width="3.75" style="69" customWidth="1"/>
    <col min="12780" max="12781" width="8.75" style="69" customWidth="1"/>
    <col min="12782" max="12782" width="3.75" style="69" customWidth="1"/>
    <col min="12783" max="12783" width="15.5" style="69" customWidth="1"/>
    <col min="12784" max="12784" width="38.625" style="69" customWidth="1"/>
    <col min="12785" max="12785" width="4.25" style="69" customWidth="1"/>
    <col min="12786" max="12786" width="11.75" style="69" customWidth="1"/>
    <col min="12787" max="12787" width="11.375" style="69" bestFit="1" customWidth="1"/>
    <col min="12788" max="12806" width="0" style="69" hidden="1" customWidth="1"/>
    <col min="12807" max="13029" width="7" style="69"/>
    <col min="13030" max="13030" width="12.375" style="69" customWidth="1"/>
    <col min="13031" max="13032" width="7.625" style="69" customWidth="1"/>
    <col min="13033" max="13033" width="14.375" style="69" customWidth="1"/>
    <col min="13034" max="13034" width="6.5" style="69" customWidth="1"/>
    <col min="13035" max="13035" width="3.75" style="69" customWidth="1"/>
    <col min="13036" max="13037" width="8.75" style="69" customWidth="1"/>
    <col min="13038" max="13038" width="3.75" style="69" customWidth="1"/>
    <col min="13039" max="13039" width="15.5" style="69" customWidth="1"/>
    <col min="13040" max="13040" width="38.625" style="69" customWidth="1"/>
    <col min="13041" max="13041" width="4.25" style="69" customWidth="1"/>
    <col min="13042" max="13042" width="11.75" style="69" customWidth="1"/>
    <col min="13043" max="13043" width="11.375" style="69" bestFit="1" customWidth="1"/>
    <col min="13044" max="13062" width="0" style="69" hidden="1" customWidth="1"/>
    <col min="13063" max="13285" width="7" style="69"/>
    <col min="13286" max="13286" width="12.375" style="69" customWidth="1"/>
    <col min="13287" max="13288" width="7.625" style="69" customWidth="1"/>
    <col min="13289" max="13289" width="14.375" style="69" customWidth="1"/>
    <col min="13290" max="13290" width="6.5" style="69" customWidth="1"/>
    <col min="13291" max="13291" width="3.75" style="69" customWidth="1"/>
    <col min="13292" max="13293" width="8.75" style="69" customWidth="1"/>
    <col min="13294" max="13294" width="3.75" style="69" customWidth="1"/>
    <col min="13295" max="13295" width="15.5" style="69" customWidth="1"/>
    <col min="13296" max="13296" width="38.625" style="69" customWidth="1"/>
    <col min="13297" max="13297" width="4.25" style="69" customWidth="1"/>
    <col min="13298" max="13298" width="11.75" style="69" customWidth="1"/>
    <col min="13299" max="13299" width="11.375" style="69" bestFit="1" customWidth="1"/>
    <col min="13300" max="13318" width="0" style="69" hidden="1" customWidth="1"/>
    <col min="13319" max="13541" width="7" style="69"/>
    <col min="13542" max="13542" width="12.375" style="69" customWidth="1"/>
    <col min="13543" max="13544" width="7.625" style="69" customWidth="1"/>
    <col min="13545" max="13545" width="14.375" style="69" customWidth="1"/>
    <col min="13546" max="13546" width="6.5" style="69" customWidth="1"/>
    <col min="13547" max="13547" width="3.75" style="69" customWidth="1"/>
    <col min="13548" max="13549" width="8.75" style="69" customWidth="1"/>
    <col min="13550" max="13550" width="3.75" style="69" customWidth="1"/>
    <col min="13551" max="13551" width="15.5" style="69" customWidth="1"/>
    <col min="13552" max="13552" width="38.625" style="69" customWidth="1"/>
    <col min="13553" max="13553" width="4.25" style="69" customWidth="1"/>
    <col min="13554" max="13554" width="11.75" style="69" customWidth="1"/>
    <col min="13555" max="13555" width="11.375" style="69" bestFit="1" customWidth="1"/>
    <col min="13556" max="13574" width="0" style="69" hidden="1" customWidth="1"/>
    <col min="13575" max="13797" width="7" style="69"/>
    <col min="13798" max="13798" width="12.375" style="69" customWidth="1"/>
    <col min="13799" max="13800" width="7.625" style="69" customWidth="1"/>
    <col min="13801" max="13801" width="14.375" style="69" customWidth="1"/>
    <col min="13802" max="13802" width="6.5" style="69" customWidth="1"/>
    <col min="13803" max="13803" width="3.75" style="69" customWidth="1"/>
    <col min="13804" max="13805" width="8.75" style="69" customWidth="1"/>
    <col min="13806" max="13806" width="3.75" style="69" customWidth="1"/>
    <col min="13807" max="13807" width="15.5" style="69" customWidth="1"/>
    <col min="13808" max="13808" width="38.625" style="69" customWidth="1"/>
    <col min="13809" max="13809" width="4.25" style="69" customWidth="1"/>
    <col min="13810" max="13810" width="11.75" style="69" customWidth="1"/>
    <col min="13811" max="13811" width="11.375" style="69" bestFit="1" customWidth="1"/>
    <col min="13812" max="13830" width="0" style="69" hidden="1" customWidth="1"/>
    <col min="13831" max="14053" width="7" style="69"/>
    <col min="14054" max="14054" width="12.375" style="69" customWidth="1"/>
    <col min="14055" max="14056" width="7.625" style="69" customWidth="1"/>
    <col min="14057" max="14057" width="14.375" style="69" customWidth="1"/>
    <col min="14058" max="14058" width="6.5" style="69" customWidth="1"/>
    <col min="14059" max="14059" width="3.75" style="69" customWidth="1"/>
    <col min="14060" max="14061" width="8.75" style="69" customWidth="1"/>
    <col min="14062" max="14062" width="3.75" style="69" customWidth="1"/>
    <col min="14063" max="14063" width="15.5" style="69" customWidth="1"/>
    <col min="14064" max="14064" width="38.625" style="69" customWidth="1"/>
    <col min="14065" max="14065" width="4.25" style="69" customWidth="1"/>
    <col min="14066" max="14066" width="11.75" style="69" customWidth="1"/>
    <col min="14067" max="14067" width="11.375" style="69" bestFit="1" customWidth="1"/>
    <col min="14068" max="14086" width="0" style="69" hidden="1" customWidth="1"/>
    <col min="14087" max="14309" width="7" style="69"/>
    <col min="14310" max="14310" width="12.375" style="69" customWidth="1"/>
    <col min="14311" max="14312" width="7.625" style="69" customWidth="1"/>
    <col min="14313" max="14313" width="14.375" style="69" customWidth="1"/>
    <col min="14314" max="14314" width="6.5" style="69" customWidth="1"/>
    <col min="14315" max="14315" width="3.75" style="69" customWidth="1"/>
    <col min="14316" max="14317" width="8.75" style="69" customWidth="1"/>
    <col min="14318" max="14318" width="3.75" style="69" customWidth="1"/>
    <col min="14319" max="14319" width="15.5" style="69" customWidth="1"/>
    <col min="14320" max="14320" width="38.625" style="69" customWidth="1"/>
    <col min="14321" max="14321" width="4.25" style="69" customWidth="1"/>
    <col min="14322" max="14322" width="11.75" style="69" customWidth="1"/>
    <col min="14323" max="14323" width="11.375" style="69" bestFit="1" customWidth="1"/>
    <col min="14324" max="14342" width="0" style="69" hidden="1" customWidth="1"/>
    <col min="14343" max="14565" width="7" style="69"/>
    <col min="14566" max="14566" width="12.375" style="69" customWidth="1"/>
    <col min="14567" max="14568" width="7.625" style="69" customWidth="1"/>
    <col min="14569" max="14569" width="14.375" style="69" customWidth="1"/>
    <col min="14570" max="14570" width="6.5" style="69" customWidth="1"/>
    <col min="14571" max="14571" width="3.75" style="69" customWidth="1"/>
    <col min="14572" max="14573" width="8.75" style="69" customWidth="1"/>
    <col min="14574" max="14574" width="3.75" style="69" customWidth="1"/>
    <col min="14575" max="14575" width="15.5" style="69" customWidth="1"/>
    <col min="14576" max="14576" width="38.625" style="69" customWidth="1"/>
    <col min="14577" max="14577" width="4.25" style="69" customWidth="1"/>
    <col min="14578" max="14578" width="11.75" style="69" customWidth="1"/>
    <col min="14579" max="14579" width="11.375" style="69" bestFit="1" customWidth="1"/>
    <col min="14580" max="14598" width="0" style="69" hidden="1" customWidth="1"/>
    <col min="14599" max="14821" width="7" style="69"/>
    <col min="14822" max="14822" width="12.375" style="69" customWidth="1"/>
    <col min="14823" max="14824" width="7.625" style="69" customWidth="1"/>
    <col min="14825" max="14825" width="14.375" style="69" customWidth="1"/>
    <col min="14826" max="14826" width="6.5" style="69" customWidth="1"/>
    <col min="14827" max="14827" width="3.75" style="69" customWidth="1"/>
    <col min="14828" max="14829" width="8.75" style="69" customWidth="1"/>
    <col min="14830" max="14830" width="3.75" style="69" customWidth="1"/>
    <col min="14831" max="14831" width="15.5" style="69" customWidth="1"/>
    <col min="14832" max="14832" width="38.625" style="69" customWidth="1"/>
    <col min="14833" max="14833" width="4.25" style="69" customWidth="1"/>
    <col min="14834" max="14834" width="11.75" style="69" customWidth="1"/>
    <col min="14835" max="14835" width="11.375" style="69" bestFit="1" customWidth="1"/>
    <col min="14836" max="14854" width="0" style="69" hidden="1" customWidth="1"/>
    <col min="14855" max="15077" width="7" style="69"/>
    <col min="15078" max="15078" width="12.375" style="69" customWidth="1"/>
    <col min="15079" max="15080" width="7.625" style="69" customWidth="1"/>
    <col min="15081" max="15081" width="14.375" style="69" customWidth="1"/>
    <col min="15082" max="15082" width="6.5" style="69" customWidth="1"/>
    <col min="15083" max="15083" width="3.75" style="69" customWidth="1"/>
    <col min="15084" max="15085" width="8.75" style="69" customWidth="1"/>
    <col min="15086" max="15086" width="3.75" style="69" customWidth="1"/>
    <col min="15087" max="15087" width="15.5" style="69" customWidth="1"/>
    <col min="15088" max="15088" width="38.625" style="69" customWidth="1"/>
    <col min="15089" max="15089" width="4.25" style="69" customWidth="1"/>
    <col min="15090" max="15090" width="11.75" style="69" customWidth="1"/>
    <col min="15091" max="15091" width="11.375" style="69" bestFit="1" customWidth="1"/>
    <col min="15092" max="15110" width="0" style="69" hidden="1" customWidth="1"/>
    <col min="15111" max="15333" width="7" style="69"/>
    <col min="15334" max="15334" width="12.375" style="69" customWidth="1"/>
    <col min="15335" max="15336" width="7.625" style="69" customWidth="1"/>
    <col min="15337" max="15337" width="14.375" style="69" customWidth="1"/>
    <col min="15338" max="15338" width="6.5" style="69" customWidth="1"/>
    <col min="15339" max="15339" width="3.75" style="69" customWidth="1"/>
    <col min="15340" max="15341" width="8.75" style="69" customWidth="1"/>
    <col min="15342" max="15342" width="3.75" style="69" customWidth="1"/>
    <col min="15343" max="15343" width="15.5" style="69" customWidth="1"/>
    <col min="15344" max="15344" width="38.625" style="69" customWidth="1"/>
    <col min="15345" max="15345" width="4.25" style="69" customWidth="1"/>
    <col min="15346" max="15346" width="11.75" style="69" customWidth="1"/>
    <col min="15347" max="15347" width="11.375" style="69" bestFit="1" customWidth="1"/>
    <col min="15348" max="15366" width="0" style="69" hidden="1" customWidth="1"/>
    <col min="15367" max="15589" width="7" style="69"/>
    <col min="15590" max="15590" width="12.375" style="69" customWidth="1"/>
    <col min="15591" max="15592" width="7.625" style="69" customWidth="1"/>
    <col min="15593" max="15593" width="14.375" style="69" customWidth="1"/>
    <col min="15594" max="15594" width="6.5" style="69" customWidth="1"/>
    <col min="15595" max="15595" width="3.75" style="69" customWidth="1"/>
    <col min="15596" max="15597" width="8.75" style="69" customWidth="1"/>
    <col min="15598" max="15598" width="3.75" style="69" customWidth="1"/>
    <col min="15599" max="15599" width="15.5" style="69" customWidth="1"/>
    <col min="15600" max="15600" width="38.625" style="69" customWidth="1"/>
    <col min="15601" max="15601" width="4.25" style="69" customWidth="1"/>
    <col min="15602" max="15602" width="11.75" style="69" customWidth="1"/>
    <col min="15603" max="15603" width="11.375" style="69" bestFit="1" customWidth="1"/>
    <col min="15604" max="15622" width="0" style="69" hidden="1" customWidth="1"/>
    <col min="15623" max="15845" width="7" style="69"/>
    <col min="15846" max="15846" width="12.375" style="69" customWidth="1"/>
    <col min="15847" max="15848" width="7.625" style="69" customWidth="1"/>
    <col min="15849" max="15849" width="14.375" style="69" customWidth="1"/>
    <col min="15850" max="15850" width="6.5" style="69" customWidth="1"/>
    <col min="15851" max="15851" width="3.75" style="69" customWidth="1"/>
    <col min="15852" max="15853" width="8.75" style="69" customWidth="1"/>
    <col min="15854" max="15854" width="3.75" style="69" customWidth="1"/>
    <col min="15855" max="15855" width="15.5" style="69" customWidth="1"/>
    <col min="15856" max="15856" width="38.625" style="69" customWidth="1"/>
    <col min="15857" max="15857" width="4.25" style="69" customWidth="1"/>
    <col min="15858" max="15858" width="11.75" style="69" customWidth="1"/>
    <col min="15859" max="15859" width="11.375" style="69" bestFit="1" customWidth="1"/>
    <col min="15860" max="15878" width="0" style="69" hidden="1" customWidth="1"/>
    <col min="15879" max="16101" width="7" style="69"/>
    <col min="16102" max="16102" width="12.375" style="69" customWidth="1"/>
    <col min="16103" max="16104" width="7.625" style="69" customWidth="1"/>
    <col min="16105" max="16105" width="14.375" style="69" customWidth="1"/>
    <col min="16106" max="16106" width="6.5" style="69" customWidth="1"/>
    <col min="16107" max="16107" width="3.75" style="69" customWidth="1"/>
    <col min="16108" max="16109" width="8.75" style="69" customWidth="1"/>
    <col min="16110" max="16110" width="3.75" style="69" customWidth="1"/>
    <col min="16111" max="16111" width="15.5" style="69" customWidth="1"/>
    <col min="16112" max="16112" width="38.625" style="69" customWidth="1"/>
    <col min="16113" max="16113" width="4.25" style="69" customWidth="1"/>
    <col min="16114" max="16114" width="11.75" style="69" customWidth="1"/>
    <col min="16115" max="16115" width="11.375" style="69" bestFit="1" customWidth="1"/>
    <col min="16116" max="16134" width="0" style="69" hidden="1" customWidth="1"/>
    <col min="16135" max="16384" width="7" style="69"/>
  </cols>
  <sheetData>
    <row r="1" spans="1:18" ht="45" customHeight="1" x14ac:dyDescent="0.3">
      <c r="A1" s="67" t="s">
        <v>379</v>
      </c>
      <c r="B1" s="67"/>
      <c r="C1" s="67"/>
      <c r="D1" s="67"/>
      <c r="E1" s="67"/>
      <c r="F1" s="67"/>
      <c r="O1" s="70" t="s">
        <v>380</v>
      </c>
      <c r="P1" s="71" t="s">
        <v>381</v>
      </c>
      <c r="Q1" s="71" t="s">
        <v>382</v>
      </c>
      <c r="R1" s="70" t="s">
        <v>383</v>
      </c>
    </row>
    <row r="2" spans="1:18" ht="20.100000000000001" customHeight="1" x14ac:dyDescent="0.3">
      <c r="A2" s="72" t="e">
        <f>"공사명 : "&amp;원가!C2</f>
        <v>#REF!</v>
      </c>
      <c r="B2" s="73"/>
      <c r="C2" s="74"/>
      <c r="D2" s="74"/>
      <c r="E2" s="74"/>
      <c r="F2" s="75" t="s">
        <v>384</v>
      </c>
      <c r="I2" s="76" t="s">
        <v>385</v>
      </c>
      <c r="J2" s="77">
        <f>원가!D31+원가!D34</f>
        <v>27399000</v>
      </c>
      <c r="K2" s="76">
        <f>IF(J2=0,0,IF(J2&lt;O2,2,IF(J2&lt;P2,3,IF(J2&lt;Q2,4,5))))</f>
        <v>2</v>
      </c>
      <c r="O2" s="78">
        <v>300000000</v>
      </c>
      <c r="P2" s="78">
        <v>2000000000</v>
      </c>
      <c r="Q2" s="78">
        <v>4000000000</v>
      </c>
      <c r="R2" s="79"/>
    </row>
    <row r="3" spans="1:18" ht="30" customHeight="1" x14ac:dyDescent="0.3">
      <c r="A3" s="80" t="s">
        <v>326</v>
      </c>
      <c r="B3" s="81" t="s">
        <v>386</v>
      </c>
      <c r="C3" s="81" t="s">
        <v>387</v>
      </c>
      <c r="D3" s="81" t="s">
        <v>388</v>
      </c>
      <c r="E3" s="81" t="s">
        <v>388</v>
      </c>
      <c r="F3" s="82" t="s">
        <v>378</v>
      </c>
      <c r="G3" s="83"/>
      <c r="I3" s="76" t="s">
        <v>326</v>
      </c>
      <c r="J3" s="84" t="e">
        <f>원가!#REF!</f>
        <v>#REF!</v>
      </c>
      <c r="K3" s="76" t="s">
        <v>389</v>
      </c>
      <c r="L3" s="85" t="e">
        <f>IF(J3&lt;1,0,IF(B4=A9,2,IF(B4=A10,1,IF(B4=A11,0.1,"X"))))</f>
        <v>#REF!</v>
      </c>
    </row>
    <row r="4" spans="1:18" ht="30" customHeight="1" x14ac:dyDescent="0.3">
      <c r="A4" s="86" t="e">
        <f>J3</f>
        <v>#REF!</v>
      </c>
      <c r="B4" s="87" t="s">
        <v>390</v>
      </c>
      <c r="C4" s="88" t="e">
        <f>A4*L3</f>
        <v>#REF!</v>
      </c>
      <c r="D4" s="89">
        <f>IF(J2=0,0,VLOOKUP(B4,$A$9:$F$11,(K2),FALSE))</f>
        <v>484000</v>
      </c>
      <c r="E4" s="90" t="e">
        <f>C4*D4</f>
        <v>#REF!</v>
      </c>
      <c r="F4" s="91" t="s">
        <v>391</v>
      </c>
      <c r="G4" s="83"/>
    </row>
    <row r="5" spans="1:18" ht="20.100000000000001" customHeight="1" x14ac:dyDescent="0.3">
      <c r="A5" s="359" t="s">
        <v>392</v>
      </c>
      <c r="B5" s="360"/>
      <c r="C5" s="360"/>
      <c r="D5" s="360"/>
      <c r="E5" s="360"/>
      <c r="F5" s="360"/>
      <c r="G5" s="83"/>
    </row>
    <row r="6" spans="1:18" ht="20.100000000000001" customHeight="1" x14ac:dyDescent="0.3">
      <c r="A6" s="361"/>
      <c r="B6" s="362"/>
      <c r="C6" s="362"/>
      <c r="D6" s="362"/>
      <c r="E6" s="362"/>
      <c r="F6" s="362"/>
      <c r="G6" s="92"/>
    </row>
    <row r="7" spans="1:18" ht="20.100000000000001" customHeight="1" x14ac:dyDescent="0.3">
      <c r="A7" s="93" t="s">
        <v>393</v>
      </c>
      <c r="B7" s="94"/>
      <c r="C7" s="94"/>
      <c r="D7" s="94"/>
      <c r="E7" s="94"/>
      <c r="F7" s="95" t="s">
        <v>384</v>
      </c>
      <c r="G7" s="92"/>
    </row>
    <row r="8" spans="1:18" ht="30" customHeight="1" x14ac:dyDescent="0.3">
      <c r="A8" s="96" t="s">
        <v>386</v>
      </c>
      <c r="B8" s="70" t="s">
        <v>380</v>
      </c>
      <c r="C8" s="71" t="s">
        <v>394</v>
      </c>
      <c r="D8" s="71" t="s">
        <v>395</v>
      </c>
      <c r="E8" s="70" t="s">
        <v>383</v>
      </c>
      <c r="F8" s="97" t="s">
        <v>378</v>
      </c>
      <c r="G8" s="92"/>
    </row>
    <row r="9" spans="1:18" ht="20.100000000000001" customHeight="1" x14ac:dyDescent="0.3">
      <c r="A9" s="98" t="s">
        <v>396</v>
      </c>
      <c r="B9" s="89">
        <f>B45</f>
        <v>242000</v>
      </c>
      <c r="C9" s="89">
        <f>C45</f>
        <v>308000</v>
      </c>
      <c r="D9" s="89">
        <f>D45</f>
        <v>385000</v>
      </c>
      <c r="E9" s="89">
        <f>E45</f>
        <v>594000</v>
      </c>
      <c r="F9" s="363" t="s">
        <v>397</v>
      </c>
      <c r="G9" s="83"/>
    </row>
    <row r="10" spans="1:18" ht="20.100000000000001" customHeight="1" x14ac:dyDescent="0.3">
      <c r="A10" s="98" t="s">
        <v>398</v>
      </c>
      <c r="B10" s="89">
        <f>B9*2</f>
        <v>484000</v>
      </c>
      <c r="C10" s="89">
        <f>C9*2</f>
        <v>616000</v>
      </c>
      <c r="D10" s="89">
        <f>D9*2</f>
        <v>770000</v>
      </c>
      <c r="E10" s="89">
        <f>E9*2</f>
        <v>1188000</v>
      </c>
      <c r="F10" s="364"/>
      <c r="G10" s="83"/>
    </row>
    <row r="11" spans="1:18" ht="20.100000000000001" customHeight="1" x14ac:dyDescent="0.3">
      <c r="A11" s="99" t="s">
        <v>399</v>
      </c>
      <c r="B11" s="100">
        <f>B9*24</f>
        <v>5808000</v>
      </c>
      <c r="C11" s="100">
        <f>C9*24</f>
        <v>7392000</v>
      </c>
      <c r="D11" s="100">
        <f>D9*24</f>
        <v>9240000</v>
      </c>
      <c r="E11" s="100">
        <f>E9*24</f>
        <v>14256000</v>
      </c>
      <c r="F11" s="365"/>
      <c r="G11" s="83"/>
    </row>
    <row r="12" spans="1:18" ht="15" customHeight="1" x14ac:dyDescent="0.3">
      <c r="A12" s="101" t="s">
        <v>400</v>
      </c>
      <c r="B12" s="102"/>
      <c r="C12" s="103"/>
      <c r="D12" s="103"/>
      <c r="E12" s="103"/>
      <c r="F12" s="103"/>
      <c r="G12" s="69"/>
    </row>
    <row r="13" spans="1:18" ht="15" customHeight="1" x14ac:dyDescent="0.3">
      <c r="A13" s="101" t="s">
        <v>401</v>
      </c>
      <c r="B13" s="102"/>
      <c r="C13" s="103"/>
      <c r="D13" s="103"/>
      <c r="E13" s="103"/>
      <c r="F13" s="103"/>
      <c r="G13" s="69"/>
    </row>
    <row r="14" spans="1:18" ht="15" customHeight="1" x14ac:dyDescent="0.3">
      <c r="A14" s="101" t="s">
        <v>402</v>
      </c>
      <c r="B14" s="102"/>
      <c r="C14" s="103"/>
      <c r="D14" s="103"/>
      <c r="E14" s="103"/>
      <c r="F14" s="103"/>
      <c r="G14" s="69"/>
    </row>
    <row r="15" spans="1:18" ht="15" customHeight="1" x14ac:dyDescent="0.3">
      <c r="A15" s="101" t="s">
        <v>403</v>
      </c>
      <c r="B15" s="102"/>
      <c r="C15" s="103"/>
      <c r="D15" s="103"/>
      <c r="E15" s="103"/>
      <c r="F15" s="103"/>
      <c r="G15" s="69"/>
    </row>
    <row r="16" spans="1:18" ht="15" customHeight="1" x14ac:dyDescent="0.3">
      <c r="A16" s="101" t="s">
        <v>404</v>
      </c>
      <c r="B16" s="104"/>
      <c r="C16" s="74"/>
      <c r="D16" s="74"/>
      <c r="E16" s="74"/>
      <c r="F16" s="74"/>
      <c r="G16" s="83"/>
    </row>
    <row r="17" spans="1:7" ht="15" customHeight="1" x14ac:dyDescent="0.3">
      <c r="A17" s="101" t="s">
        <v>405</v>
      </c>
      <c r="B17" s="104"/>
      <c r="C17" s="74"/>
      <c r="D17" s="74"/>
      <c r="E17" s="74"/>
      <c r="F17" s="74"/>
      <c r="G17" s="83"/>
    </row>
    <row r="18" spans="1:7" ht="15" customHeight="1" x14ac:dyDescent="0.3">
      <c r="A18" s="101" t="s">
        <v>406</v>
      </c>
      <c r="B18" s="104"/>
      <c r="C18" s="74"/>
      <c r="D18" s="74"/>
      <c r="E18" s="74"/>
      <c r="F18" s="74"/>
      <c r="G18" s="83"/>
    </row>
    <row r="19" spans="1:7" ht="15" customHeight="1" x14ac:dyDescent="0.3">
      <c r="A19" s="101" t="s">
        <v>407</v>
      </c>
      <c r="B19" s="102"/>
      <c r="C19" s="105"/>
      <c r="D19" s="105"/>
      <c r="E19" s="105"/>
      <c r="F19" s="105"/>
      <c r="G19" s="83"/>
    </row>
    <row r="20" spans="1:7" ht="15" customHeight="1" x14ac:dyDescent="0.3">
      <c r="A20" s="101" t="s">
        <v>408</v>
      </c>
      <c r="B20" s="106"/>
      <c r="C20" s="74"/>
      <c r="D20" s="74"/>
      <c r="E20" s="74"/>
      <c r="F20" s="74"/>
      <c r="G20" s="83"/>
    </row>
    <row r="21" spans="1:7" ht="15" customHeight="1" x14ac:dyDescent="0.3">
      <c r="A21" s="101" t="s">
        <v>409</v>
      </c>
      <c r="B21" s="104"/>
      <c r="C21" s="74"/>
      <c r="D21" s="74"/>
      <c r="E21" s="74"/>
      <c r="F21" s="74"/>
      <c r="G21" s="83"/>
    </row>
    <row r="22" spans="1:7" ht="15" customHeight="1" x14ac:dyDescent="0.3">
      <c r="A22" s="101" t="s">
        <v>410</v>
      </c>
      <c r="B22" s="104"/>
      <c r="C22" s="74"/>
      <c r="D22" s="74"/>
      <c r="E22" s="74"/>
      <c r="F22" s="74"/>
      <c r="G22" s="83"/>
    </row>
    <row r="23" spans="1:7" ht="15" customHeight="1" x14ac:dyDescent="0.3">
      <c r="A23" s="101" t="s">
        <v>411</v>
      </c>
      <c r="B23" s="107"/>
      <c r="C23" s="103"/>
      <c r="D23" s="103"/>
      <c r="E23" s="103"/>
      <c r="F23" s="103"/>
      <c r="G23" s="108"/>
    </row>
    <row r="24" spans="1:7" ht="15" customHeight="1" x14ac:dyDescent="0.3">
      <c r="A24" s="101" t="s">
        <v>412</v>
      </c>
      <c r="B24" s="104"/>
      <c r="C24" s="74"/>
      <c r="D24" s="74"/>
      <c r="E24" s="74"/>
      <c r="F24" s="74"/>
      <c r="G24" s="83"/>
    </row>
    <row r="25" spans="1:7" ht="15" customHeight="1" x14ac:dyDescent="0.3">
      <c r="A25" s="101" t="s">
        <v>413</v>
      </c>
      <c r="B25" s="104"/>
      <c r="C25" s="74"/>
      <c r="D25" s="74"/>
      <c r="E25" s="74"/>
      <c r="F25" s="74"/>
      <c r="G25" s="83"/>
    </row>
    <row r="26" spans="1:7" ht="15" customHeight="1" x14ac:dyDescent="0.3">
      <c r="A26" s="101" t="s">
        <v>414</v>
      </c>
      <c r="B26" s="104"/>
      <c r="C26" s="74"/>
      <c r="D26" s="74"/>
      <c r="E26" s="74"/>
      <c r="F26" s="74"/>
      <c r="G26" s="83"/>
    </row>
    <row r="27" spans="1:7" ht="15" customHeight="1" x14ac:dyDescent="0.3">
      <c r="A27" s="101" t="s">
        <v>415</v>
      </c>
      <c r="B27" s="104"/>
      <c r="C27" s="74"/>
      <c r="D27" s="74"/>
      <c r="E27" s="74"/>
      <c r="F27" s="74"/>
      <c r="G27" s="83"/>
    </row>
    <row r="28" spans="1:7" ht="15" customHeight="1" x14ac:dyDescent="0.3">
      <c r="A28" s="109" t="s">
        <v>416</v>
      </c>
      <c r="B28" s="110"/>
      <c r="C28" s="111"/>
      <c r="D28" s="111"/>
      <c r="E28" s="111"/>
      <c r="F28" s="111"/>
      <c r="G28" s="83"/>
    </row>
    <row r="29" spans="1:7" ht="45" customHeight="1" x14ac:dyDescent="0.3">
      <c r="A29" s="67" t="s">
        <v>417</v>
      </c>
      <c r="B29" s="67"/>
      <c r="C29" s="67"/>
      <c r="D29" s="67"/>
      <c r="E29" s="67"/>
      <c r="F29" s="67"/>
    </row>
    <row r="30" spans="1:7" ht="24.95" customHeight="1" x14ac:dyDescent="0.3">
      <c r="A30" s="112" t="s">
        <v>418</v>
      </c>
      <c r="B30" s="113"/>
      <c r="C30" s="113"/>
      <c r="D30" s="113"/>
      <c r="E30" s="113"/>
      <c r="F30" s="114" t="s">
        <v>419</v>
      </c>
    </row>
    <row r="31" spans="1:7" ht="24.95" customHeight="1" x14ac:dyDescent="0.3">
      <c r="A31" s="366" t="s">
        <v>386</v>
      </c>
      <c r="B31" s="115" t="s">
        <v>420</v>
      </c>
      <c r="C31" s="115" t="s">
        <v>421</v>
      </c>
      <c r="D31" s="115" t="s">
        <v>422</v>
      </c>
      <c r="E31" s="115" t="s">
        <v>383</v>
      </c>
      <c r="F31" s="368" t="s">
        <v>378</v>
      </c>
    </row>
    <row r="32" spans="1:7" ht="15" customHeight="1" x14ac:dyDescent="0.3">
      <c r="A32" s="367"/>
      <c r="B32" s="116" t="s">
        <v>423</v>
      </c>
      <c r="C32" s="116" t="s">
        <v>423</v>
      </c>
      <c r="D32" s="116" t="s">
        <v>424</v>
      </c>
      <c r="E32" s="116" t="s">
        <v>425</v>
      </c>
      <c r="F32" s="369"/>
    </row>
    <row r="33" spans="1:9" ht="35.1" customHeight="1" x14ac:dyDescent="0.3">
      <c r="A33" s="117" t="s">
        <v>426</v>
      </c>
      <c r="B33" s="118">
        <v>278628</v>
      </c>
      <c r="C33" s="118">
        <v>278902</v>
      </c>
      <c r="D33" s="118">
        <v>289628</v>
      </c>
      <c r="E33" s="118">
        <v>365662.75</v>
      </c>
      <c r="F33" s="119" t="s">
        <v>427</v>
      </c>
    </row>
    <row r="34" spans="1:9" ht="17.45" customHeight="1" x14ac:dyDescent="0.3">
      <c r="A34" s="366" t="s">
        <v>428</v>
      </c>
      <c r="B34" s="120">
        <v>4</v>
      </c>
      <c r="C34" s="120">
        <v>3</v>
      </c>
      <c r="D34" s="120">
        <v>2.5</v>
      </c>
      <c r="E34" s="120">
        <v>2</v>
      </c>
      <c r="F34" s="370" t="s">
        <v>429</v>
      </c>
    </row>
    <row r="35" spans="1:9" ht="17.45" customHeight="1" x14ac:dyDescent="0.3">
      <c r="A35" s="367"/>
      <c r="B35" s="121" t="s">
        <v>430</v>
      </c>
      <c r="C35" s="121" t="s">
        <v>431</v>
      </c>
      <c r="D35" s="121" t="s">
        <v>432</v>
      </c>
      <c r="E35" s="121" t="s">
        <v>433</v>
      </c>
      <c r="F35" s="371"/>
    </row>
    <row r="36" spans="1:9" ht="35.1" customHeight="1" x14ac:dyDescent="0.3">
      <c r="A36" s="117" t="s">
        <v>434</v>
      </c>
      <c r="B36" s="118">
        <f>B33/B34</f>
        <v>69657</v>
      </c>
      <c r="C36" s="118">
        <f>C33/C34</f>
        <v>92967.333333333328</v>
      </c>
      <c r="D36" s="118">
        <f>D33/D34</f>
        <v>115851.2</v>
      </c>
      <c r="E36" s="118">
        <f>E33/E34</f>
        <v>182831.375</v>
      </c>
      <c r="F36" s="117"/>
    </row>
    <row r="37" spans="1:9" ht="24.95" customHeight="1" x14ac:dyDescent="0.3">
      <c r="A37" s="112" t="s">
        <v>435</v>
      </c>
      <c r="B37" s="113"/>
      <c r="C37" s="113"/>
      <c r="D37" s="113"/>
      <c r="E37" s="113"/>
      <c r="F37" s="114" t="s">
        <v>419</v>
      </c>
    </row>
    <row r="38" spans="1:9" ht="35.1" customHeight="1" x14ac:dyDescent="0.3">
      <c r="A38" s="122" t="s">
        <v>386</v>
      </c>
      <c r="B38" s="115" t="s">
        <v>420</v>
      </c>
      <c r="C38" s="115" t="s">
        <v>421</v>
      </c>
      <c r="D38" s="115" t="s">
        <v>422</v>
      </c>
      <c r="E38" s="115" t="s">
        <v>383</v>
      </c>
      <c r="F38" s="117" t="s">
        <v>378</v>
      </c>
    </row>
    <row r="39" spans="1:9" ht="35.1" customHeight="1" x14ac:dyDescent="0.3">
      <c r="A39" s="123" t="s">
        <v>436</v>
      </c>
      <c r="B39" s="124">
        <f>B36</f>
        <v>69657</v>
      </c>
      <c r="C39" s="124">
        <f>C36</f>
        <v>92967.333333333328</v>
      </c>
      <c r="D39" s="124">
        <f>D36</f>
        <v>115851.2</v>
      </c>
      <c r="E39" s="124">
        <f>E36</f>
        <v>182831.375</v>
      </c>
      <c r="F39" s="117"/>
    </row>
    <row r="40" spans="1:9" ht="35.1" customHeight="1" x14ac:dyDescent="0.3">
      <c r="A40" s="123" t="s">
        <v>437</v>
      </c>
      <c r="B40" s="124">
        <v>30000</v>
      </c>
      <c r="C40" s="124">
        <v>30000</v>
      </c>
      <c r="D40" s="124">
        <v>30000</v>
      </c>
      <c r="E40" s="124">
        <v>30000</v>
      </c>
      <c r="F40" s="117" t="s">
        <v>438</v>
      </c>
    </row>
    <row r="41" spans="1:9" ht="35.1" customHeight="1" x14ac:dyDescent="0.3">
      <c r="A41" s="123" t="s">
        <v>439</v>
      </c>
      <c r="B41" s="125">
        <f>B39*$I$41</f>
        <v>80105.549999999988</v>
      </c>
      <c r="C41" s="125">
        <f>C39*$I$41</f>
        <v>106912.43333333332</v>
      </c>
      <c r="D41" s="125">
        <f>D39*$I$41</f>
        <v>133228.87999999998</v>
      </c>
      <c r="E41" s="125">
        <f>E39*$I$41</f>
        <v>210256.08124999999</v>
      </c>
      <c r="F41" s="126" t="str">
        <f>"제경비 : "&amp;I41*100&amp;"%"</f>
        <v>제경비 : 115%</v>
      </c>
      <c r="H41" s="76" t="s">
        <v>440</v>
      </c>
      <c r="I41" s="127">
        <v>1.1499999999999999</v>
      </c>
    </row>
    <row r="42" spans="1:9" ht="35.1" customHeight="1" x14ac:dyDescent="0.3">
      <c r="A42" s="123" t="s">
        <v>441</v>
      </c>
      <c r="B42" s="124">
        <f>(B39+B41)*$I$42</f>
        <v>44928.764999999992</v>
      </c>
      <c r="C42" s="124">
        <f>(C39+C41)*$I$42</f>
        <v>59963.929999999993</v>
      </c>
      <c r="D42" s="124">
        <f>(D39+D41)*$I$42</f>
        <v>74724.02399999999</v>
      </c>
      <c r="E42" s="124">
        <f>(E39+E41)*$I$42</f>
        <v>117926.23687499999</v>
      </c>
      <c r="F42" s="126" t="str">
        <f>"기술료 : "&amp;I42*100&amp;"%"</f>
        <v>기술료 : 30%</v>
      </c>
      <c r="H42" s="76" t="s">
        <v>442</v>
      </c>
      <c r="I42" s="127">
        <v>0.3</v>
      </c>
    </row>
    <row r="43" spans="1:9" ht="35.1" customHeight="1" x14ac:dyDescent="0.3">
      <c r="A43" s="123" t="s">
        <v>443</v>
      </c>
      <c r="B43" s="124">
        <f>ROUNDDOWN(SUM(B39:B42),-4)</f>
        <v>220000</v>
      </c>
      <c r="C43" s="124">
        <f>ROUNDDOWN(SUM(C39:C42),-4)</f>
        <v>280000</v>
      </c>
      <c r="D43" s="124">
        <f>ROUNDDOWN(SUM(D39:D42),-4)</f>
        <v>350000</v>
      </c>
      <c r="E43" s="124">
        <f>ROUNDDOWN(SUM(E39:E42),-4)</f>
        <v>540000</v>
      </c>
      <c r="F43" s="117" t="s">
        <v>444</v>
      </c>
    </row>
    <row r="44" spans="1:9" ht="35.1" customHeight="1" x14ac:dyDescent="0.3">
      <c r="A44" s="128" t="s">
        <v>445</v>
      </c>
      <c r="B44" s="125">
        <f>B43*$I$44</f>
        <v>22000</v>
      </c>
      <c r="C44" s="125">
        <f>C43*$I$44</f>
        <v>28000</v>
      </c>
      <c r="D44" s="125">
        <f>D43*$I$44</f>
        <v>35000</v>
      </c>
      <c r="E44" s="125">
        <f>E43*$I$44</f>
        <v>54000</v>
      </c>
      <c r="F44" s="117"/>
      <c r="H44" s="76" t="s">
        <v>446</v>
      </c>
      <c r="I44" s="127">
        <v>0.1</v>
      </c>
    </row>
    <row r="45" spans="1:9" ht="35.1" customHeight="1" x14ac:dyDescent="0.3">
      <c r="A45" s="123" t="s">
        <v>447</v>
      </c>
      <c r="B45" s="124">
        <f>B43+B44</f>
        <v>242000</v>
      </c>
      <c r="C45" s="124">
        <f>C43+C44</f>
        <v>308000</v>
      </c>
      <c r="D45" s="124">
        <f>D43+D44</f>
        <v>385000</v>
      </c>
      <c r="E45" s="124">
        <f>E43+E44</f>
        <v>594000</v>
      </c>
      <c r="F45" s="117"/>
    </row>
    <row r="46" spans="1:9" ht="24.95" customHeight="1" x14ac:dyDescent="0.3"/>
    <row r="47" spans="1:9" ht="24.95" customHeight="1" x14ac:dyDescent="0.3"/>
  </sheetData>
  <sheetProtection formatCells="0" formatColumns="0" formatRows="0" insertColumns="0" insertRows="0" insertHyperlinks="0" deleteColumns="0" deleteRows="0" selectLockedCells="1" sort="0" autoFilter="0" pivotTables="0"/>
  <dataConsolidate link="1"/>
  <mergeCells count="6">
    <mergeCell ref="A5:F6"/>
    <mergeCell ref="F9:F11"/>
    <mergeCell ref="A31:A32"/>
    <mergeCell ref="F31:F32"/>
    <mergeCell ref="A34:A35"/>
    <mergeCell ref="F34:F35"/>
  </mergeCells>
  <phoneticPr fontId="1" type="noConversion"/>
  <dataValidations count="4">
    <dataValidation type="list" allowBlank="1" showInputMessage="1" showErrorMessage="1" sqref="RR4 HV4 WUH4 WKL4 WAP4 VQT4 VGX4 UXB4 UNF4 UDJ4 TTN4 TJR4 SZV4 SPZ4 SGD4 RWH4 RML4 RCP4 QST4 QIX4 PZB4 PPF4 PFJ4 OVN4 OLR4 OBV4 NRZ4 NID4 MYH4 MOL4 MEP4 LUT4 LKX4 LBB4 KRF4 KHJ4 JXN4 JNR4 JDV4 ITZ4 IKD4 IAH4 HQL4 HGP4 GWT4 GMX4 GDB4 FTF4 FJJ4 EZN4 EPR4 EFV4 DVZ4 DMD4 DCH4 CSL4 CIP4 BYT4 BOX4 BFB4 AVF4 ALJ4 ABN4 HW3:HY3 WUI982807:WUK982807 WKM982807:WKO982807 WAQ982807:WAS982807 VQU982807:VQW982807 VGY982807:VHA982807 UXC982807:UXE982807 UNG982807:UNI982807 UDK982807:UDM982807 TTO982807:TTQ982807 TJS982807:TJU982807 SZW982807:SZY982807 SQA982807:SQC982807 SGE982807:SGG982807 RWI982807:RWK982807 RMM982807:RMO982807 RCQ982807:RCS982807 QSU982807:QSW982807 QIY982807:QJA982807 PZC982807:PZE982807 PPG982807:PPI982807 PFK982807:PFM982807 OVO982807:OVQ982807 OLS982807:OLU982807 OBW982807:OBY982807 NSA982807:NSC982807 NIE982807:NIG982807 MYI982807:MYK982807 MOM982807:MOO982807 MEQ982807:MES982807 LUU982807:LUW982807 LKY982807:LLA982807 LBC982807:LBE982807 KRG982807:KRI982807 KHK982807:KHM982807 JXO982807:JXQ982807 JNS982807:JNU982807 JDW982807:JDY982807 IUA982807:IUC982807 IKE982807:IKG982807 IAI982807:IAK982807 HQM982807:HQO982807 HGQ982807:HGS982807 GWU982807:GWW982807 GMY982807:GNA982807 GDC982807:GDE982807 FTG982807:FTI982807 FJK982807:FJM982807 EZO982807:EZQ982807 EPS982807:EPU982807 EFW982807:EFY982807 DWA982807:DWC982807 DME982807:DMG982807 DCI982807:DCK982807 CSM982807:CSO982807 CIQ982807:CIS982807 BYU982807:BYW982807 BOY982807:BPA982807 BFC982807:BFE982807 AVG982807:AVI982807 ALK982807:ALM982807 ABO982807:ABQ982807 RS982807:RU982807 HW982807:HY982807 WUI917271:WUK917271 WKM917271:WKO917271 WAQ917271:WAS917271 VQU917271:VQW917271 VGY917271:VHA917271 UXC917271:UXE917271 UNG917271:UNI917271 UDK917271:UDM917271 TTO917271:TTQ917271 TJS917271:TJU917271 SZW917271:SZY917271 SQA917271:SQC917271 SGE917271:SGG917271 RWI917271:RWK917271 RMM917271:RMO917271 RCQ917271:RCS917271 QSU917271:QSW917271 QIY917271:QJA917271 PZC917271:PZE917271 PPG917271:PPI917271 PFK917271:PFM917271 OVO917271:OVQ917271 OLS917271:OLU917271 OBW917271:OBY917271 NSA917271:NSC917271 NIE917271:NIG917271 MYI917271:MYK917271 MOM917271:MOO917271 MEQ917271:MES917271 LUU917271:LUW917271 LKY917271:LLA917271 LBC917271:LBE917271 KRG917271:KRI917271 KHK917271:KHM917271 JXO917271:JXQ917271 JNS917271:JNU917271 JDW917271:JDY917271 IUA917271:IUC917271 IKE917271:IKG917271 IAI917271:IAK917271 HQM917271:HQO917271 HGQ917271:HGS917271 GWU917271:GWW917271 GMY917271:GNA917271 GDC917271:GDE917271 FTG917271:FTI917271 FJK917271:FJM917271 EZO917271:EZQ917271 EPS917271:EPU917271 EFW917271:EFY917271 DWA917271:DWC917271 DME917271:DMG917271 DCI917271:DCK917271 CSM917271:CSO917271 CIQ917271:CIS917271 BYU917271:BYW917271 BOY917271:BPA917271 BFC917271:BFE917271 AVG917271:AVI917271 ALK917271:ALM917271 ABO917271:ABQ917271 RS917271:RU917271 HW917271:HY917271 WUI851735:WUK851735 WKM851735:WKO851735 WAQ851735:WAS851735 VQU851735:VQW851735 VGY851735:VHA851735 UXC851735:UXE851735 UNG851735:UNI851735 UDK851735:UDM851735 TTO851735:TTQ851735 TJS851735:TJU851735 SZW851735:SZY851735 SQA851735:SQC851735 SGE851735:SGG851735 RWI851735:RWK851735 RMM851735:RMO851735 RCQ851735:RCS851735 QSU851735:QSW851735 QIY851735:QJA851735 PZC851735:PZE851735 PPG851735:PPI851735 PFK851735:PFM851735 OVO851735:OVQ851735 OLS851735:OLU851735 OBW851735:OBY851735 NSA851735:NSC851735 NIE851735:NIG851735 MYI851735:MYK851735 MOM851735:MOO851735 MEQ851735:MES851735 LUU851735:LUW851735 LKY851735:LLA851735 LBC851735:LBE851735 KRG851735:KRI851735 KHK851735:KHM851735 JXO851735:JXQ851735 JNS851735:JNU851735 JDW851735:JDY851735 IUA851735:IUC851735 IKE851735:IKG851735 IAI851735:IAK851735 HQM851735:HQO851735 HGQ851735:HGS851735 GWU851735:GWW851735 GMY851735:GNA851735 GDC851735:GDE851735 FTG851735:FTI851735 FJK851735:FJM851735 EZO851735:EZQ851735 EPS851735:EPU851735 EFW851735:EFY851735 DWA851735:DWC851735 DME851735:DMG851735 DCI851735:DCK851735 CSM851735:CSO851735 CIQ851735:CIS851735 BYU851735:BYW851735 BOY851735:BPA851735 BFC851735:BFE851735 AVG851735:AVI851735 ALK851735:ALM851735 ABO851735:ABQ851735 RS851735:RU851735 HW851735:HY851735 WUI786199:WUK786199 WKM786199:WKO786199 WAQ786199:WAS786199 VQU786199:VQW786199 VGY786199:VHA786199 UXC786199:UXE786199 UNG786199:UNI786199 UDK786199:UDM786199 TTO786199:TTQ786199 TJS786199:TJU786199 SZW786199:SZY786199 SQA786199:SQC786199 SGE786199:SGG786199 RWI786199:RWK786199 RMM786199:RMO786199 RCQ786199:RCS786199 QSU786199:QSW786199 QIY786199:QJA786199 PZC786199:PZE786199 PPG786199:PPI786199 PFK786199:PFM786199 OVO786199:OVQ786199 OLS786199:OLU786199 OBW786199:OBY786199 NSA786199:NSC786199 NIE786199:NIG786199 MYI786199:MYK786199 MOM786199:MOO786199 MEQ786199:MES786199 LUU786199:LUW786199 LKY786199:LLA786199 LBC786199:LBE786199 KRG786199:KRI786199 KHK786199:KHM786199 JXO786199:JXQ786199 JNS786199:JNU786199 JDW786199:JDY786199 IUA786199:IUC786199 IKE786199:IKG786199 IAI786199:IAK786199 HQM786199:HQO786199 HGQ786199:HGS786199 GWU786199:GWW786199 GMY786199:GNA786199 GDC786199:GDE786199 FTG786199:FTI786199 FJK786199:FJM786199 EZO786199:EZQ786199 EPS786199:EPU786199 EFW786199:EFY786199 DWA786199:DWC786199 DME786199:DMG786199 DCI786199:DCK786199 CSM786199:CSO786199 CIQ786199:CIS786199 BYU786199:BYW786199 BOY786199:BPA786199 BFC786199:BFE786199 AVG786199:AVI786199 ALK786199:ALM786199 ABO786199:ABQ786199 RS786199:RU786199 HW786199:HY786199 WUI720663:WUK720663 WKM720663:WKO720663 WAQ720663:WAS720663 VQU720663:VQW720663 VGY720663:VHA720663 UXC720663:UXE720663 UNG720663:UNI720663 UDK720663:UDM720663 TTO720663:TTQ720663 TJS720663:TJU720663 SZW720663:SZY720663 SQA720663:SQC720663 SGE720663:SGG720663 RWI720663:RWK720663 RMM720663:RMO720663 RCQ720663:RCS720663 QSU720663:QSW720663 QIY720663:QJA720663 PZC720663:PZE720663 PPG720663:PPI720663 PFK720663:PFM720663 OVO720663:OVQ720663 OLS720663:OLU720663 OBW720663:OBY720663 NSA720663:NSC720663 NIE720663:NIG720663 MYI720663:MYK720663 MOM720663:MOO720663 MEQ720663:MES720663 LUU720663:LUW720663 LKY720663:LLA720663 LBC720663:LBE720663 KRG720663:KRI720663 KHK720663:KHM720663 JXO720663:JXQ720663 JNS720663:JNU720663 JDW720663:JDY720663 IUA720663:IUC720663 IKE720663:IKG720663 IAI720663:IAK720663 HQM720663:HQO720663 HGQ720663:HGS720663 GWU720663:GWW720663 GMY720663:GNA720663 GDC720663:GDE720663 FTG720663:FTI720663 FJK720663:FJM720663 EZO720663:EZQ720663 EPS720663:EPU720663 EFW720663:EFY720663 DWA720663:DWC720663 DME720663:DMG720663 DCI720663:DCK720663 CSM720663:CSO720663 CIQ720663:CIS720663 BYU720663:BYW720663 BOY720663:BPA720663 BFC720663:BFE720663 AVG720663:AVI720663 ALK720663:ALM720663 ABO720663:ABQ720663 RS720663:RU720663 HW720663:HY720663 WUI655127:WUK655127 WKM655127:WKO655127 WAQ655127:WAS655127 VQU655127:VQW655127 VGY655127:VHA655127 UXC655127:UXE655127 UNG655127:UNI655127 UDK655127:UDM655127 TTO655127:TTQ655127 TJS655127:TJU655127 SZW655127:SZY655127 SQA655127:SQC655127 SGE655127:SGG655127 RWI655127:RWK655127 RMM655127:RMO655127 RCQ655127:RCS655127 QSU655127:QSW655127 QIY655127:QJA655127 PZC655127:PZE655127 PPG655127:PPI655127 PFK655127:PFM655127 OVO655127:OVQ655127 OLS655127:OLU655127 OBW655127:OBY655127 NSA655127:NSC655127 NIE655127:NIG655127 MYI655127:MYK655127 MOM655127:MOO655127 MEQ655127:MES655127 LUU655127:LUW655127 LKY655127:LLA655127 LBC655127:LBE655127 KRG655127:KRI655127 KHK655127:KHM655127 JXO655127:JXQ655127 JNS655127:JNU655127 JDW655127:JDY655127 IUA655127:IUC655127 IKE655127:IKG655127 IAI655127:IAK655127 HQM655127:HQO655127 HGQ655127:HGS655127 GWU655127:GWW655127 GMY655127:GNA655127 GDC655127:GDE655127 FTG655127:FTI655127 FJK655127:FJM655127 EZO655127:EZQ655127 EPS655127:EPU655127 EFW655127:EFY655127 DWA655127:DWC655127 DME655127:DMG655127 DCI655127:DCK655127 CSM655127:CSO655127 CIQ655127:CIS655127 BYU655127:BYW655127 BOY655127:BPA655127 BFC655127:BFE655127 AVG655127:AVI655127 ALK655127:ALM655127 ABO655127:ABQ655127 RS655127:RU655127 HW655127:HY655127 WUI589591:WUK589591 WKM589591:WKO589591 WAQ589591:WAS589591 VQU589591:VQW589591 VGY589591:VHA589591 UXC589591:UXE589591 UNG589591:UNI589591 UDK589591:UDM589591 TTO589591:TTQ589591 TJS589591:TJU589591 SZW589591:SZY589591 SQA589591:SQC589591 SGE589591:SGG589591 RWI589591:RWK589591 RMM589591:RMO589591 RCQ589591:RCS589591 QSU589591:QSW589591 QIY589591:QJA589591 PZC589591:PZE589591 PPG589591:PPI589591 PFK589591:PFM589591 OVO589591:OVQ589591 OLS589591:OLU589591 OBW589591:OBY589591 NSA589591:NSC589591 NIE589591:NIG589591 MYI589591:MYK589591 MOM589591:MOO589591 MEQ589591:MES589591 LUU589591:LUW589591 LKY589591:LLA589591 LBC589591:LBE589591 KRG589591:KRI589591 KHK589591:KHM589591 JXO589591:JXQ589591 JNS589591:JNU589591 JDW589591:JDY589591 IUA589591:IUC589591 IKE589591:IKG589591 IAI589591:IAK589591 HQM589591:HQO589591 HGQ589591:HGS589591 GWU589591:GWW589591 GMY589591:GNA589591 GDC589591:GDE589591 FTG589591:FTI589591 FJK589591:FJM589591 EZO589591:EZQ589591 EPS589591:EPU589591 EFW589591:EFY589591 DWA589591:DWC589591 DME589591:DMG589591 DCI589591:DCK589591 CSM589591:CSO589591 CIQ589591:CIS589591 BYU589591:BYW589591 BOY589591:BPA589591 BFC589591:BFE589591 AVG589591:AVI589591 ALK589591:ALM589591 ABO589591:ABQ589591 RS589591:RU589591 HW589591:HY589591 WUI524055:WUK524055 WKM524055:WKO524055 WAQ524055:WAS524055 VQU524055:VQW524055 VGY524055:VHA524055 UXC524055:UXE524055 UNG524055:UNI524055 UDK524055:UDM524055 TTO524055:TTQ524055 TJS524055:TJU524055 SZW524055:SZY524055 SQA524055:SQC524055 SGE524055:SGG524055 RWI524055:RWK524055 RMM524055:RMO524055 RCQ524055:RCS524055 QSU524055:QSW524055 QIY524055:QJA524055 PZC524055:PZE524055 PPG524055:PPI524055 PFK524055:PFM524055 OVO524055:OVQ524055 OLS524055:OLU524055 OBW524055:OBY524055 NSA524055:NSC524055 NIE524055:NIG524055 MYI524055:MYK524055 MOM524055:MOO524055 MEQ524055:MES524055 LUU524055:LUW524055 LKY524055:LLA524055 LBC524055:LBE524055 KRG524055:KRI524055 KHK524055:KHM524055 JXO524055:JXQ524055 JNS524055:JNU524055 JDW524055:JDY524055 IUA524055:IUC524055 IKE524055:IKG524055 IAI524055:IAK524055 HQM524055:HQO524055 HGQ524055:HGS524055 GWU524055:GWW524055 GMY524055:GNA524055 GDC524055:GDE524055 FTG524055:FTI524055 FJK524055:FJM524055 EZO524055:EZQ524055 EPS524055:EPU524055 EFW524055:EFY524055 DWA524055:DWC524055 DME524055:DMG524055 DCI524055:DCK524055 CSM524055:CSO524055 CIQ524055:CIS524055 BYU524055:BYW524055 BOY524055:BPA524055 BFC524055:BFE524055 AVG524055:AVI524055 ALK524055:ALM524055 ABO524055:ABQ524055 RS524055:RU524055 HW524055:HY524055 WUI458519:WUK458519 WKM458519:WKO458519 WAQ458519:WAS458519 VQU458519:VQW458519 VGY458519:VHA458519 UXC458519:UXE458519 UNG458519:UNI458519 UDK458519:UDM458519 TTO458519:TTQ458519 TJS458519:TJU458519 SZW458519:SZY458519 SQA458519:SQC458519 SGE458519:SGG458519 RWI458519:RWK458519 RMM458519:RMO458519 RCQ458519:RCS458519 QSU458519:QSW458519 QIY458519:QJA458519 PZC458519:PZE458519 PPG458519:PPI458519 PFK458519:PFM458519 OVO458519:OVQ458519 OLS458519:OLU458519 OBW458519:OBY458519 NSA458519:NSC458519 NIE458519:NIG458519 MYI458519:MYK458519 MOM458519:MOO458519 MEQ458519:MES458519 LUU458519:LUW458519 LKY458519:LLA458519 LBC458519:LBE458519 KRG458519:KRI458519 KHK458519:KHM458519 JXO458519:JXQ458519 JNS458519:JNU458519 JDW458519:JDY458519 IUA458519:IUC458519 IKE458519:IKG458519 IAI458519:IAK458519 HQM458519:HQO458519 HGQ458519:HGS458519 GWU458519:GWW458519 GMY458519:GNA458519 GDC458519:GDE458519 FTG458519:FTI458519 FJK458519:FJM458519 EZO458519:EZQ458519 EPS458519:EPU458519 EFW458519:EFY458519 DWA458519:DWC458519 DME458519:DMG458519 DCI458519:DCK458519 CSM458519:CSO458519 CIQ458519:CIS458519 BYU458519:BYW458519 BOY458519:BPA458519 BFC458519:BFE458519 AVG458519:AVI458519 ALK458519:ALM458519 ABO458519:ABQ458519 RS458519:RU458519 HW458519:HY458519 WUI392983:WUK392983 WKM392983:WKO392983 WAQ392983:WAS392983 VQU392983:VQW392983 VGY392983:VHA392983 UXC392983:UXE392983 UNG392983:UNI392983 UDK392983:UDM392983 TTO392983:TTQ392983 TJS392983:TJU392983 SZW392983:SZY392983 SQA392983:SQC392983 SGE392983:SGG392983 RWI392983:RWK392983 RMM392983:RMO392983 RCQ392983:RCS392983 QSU392983:QSW392983 QIY392983:QJA392983 PZC392983:PZE392983 PPG392983:PPI392983 PFK392983:PFM392983 OVO392983:OVQ392983 OLS392983:OLU392983 OBW392983:OBY392983 NSA392983:NSC392983 NIE392983:NIG392983 MYI392983:MYK392983 MOM392983:MOO392983 MEQ392983:MES392983 LUU392983:LUW392983 LKY392983:LLA392983 LBC392983:LBE392983 KRG392983:KRI392983 KHK392983:KHM392983 JXO392983:JXQ392983 JNS392983:JNU392983 JDW392983:JDY392983 IUA392983:IUC392983 IKE392983:IKG392983 IAI392983:IAK392983 HQM392983:HQO392983 HGQ392983:HGS392983 GWU392983:GWW392983 GMY392983:GNA392983 GDC392983:GDE392983 FTG392983:FTI392983 FJK392983:FJM392983 EZO392983:EZQ392983 EPS392983:EPU392983 EFW392983:EFY392983 DWA392983:DWC392983 DME392983:DMG392983 DCI392983:DCK392983 CSM392983:CSO392983 CIQ392983:CIS392983 BYU392983:BYW392983 BOY392983:BPA392983 BFC392983:BFE392983 AVG392983:AVI392983 ALK392983:ALM392983 ABO392983:ABQ392983 RS392983:RU392983 HW392983:HY392983 WUI327447:WUK327447 WKM327447:WKO327447 WAQ327447:WAS327447 VQU327447:VQW327447 VGY327447:VHA327447 UXC327447:UXE327447 UNG327447:UNI327447 UDK327447:UDM327447 TTO327447:TTQ327447 TJS327447:TJU327447 SZW327447:SZY327447 SQA327447:SQC327447 SGE327447:SGG327447 RWI327447:RWK327447 RMM327447:RMO327447 RCQ327447:RCS327447 QSU327447:QSW327447 QIY327447:QJA327447 PZC327447:PZE327447 PPG327447:PPI327447 PFK327447:PFM327447 OVO327447:OVQ327447 OLS327447:OLU327447 OBW327447:OBY327447 NSA327447:NSC327447 NIE327447:NIG327447 MYI327447:MYK327447 MOM327447:MOO327447 MEQ327447:MES327447 LUU327447:LUW327447 LKY327447:LLA327447 LBC327447:LBE327447 KRG327447:KRI327447 KHK327447:KHM327447 JXO327447:JXQ327447 JNS327447:JNU327447 JDW327447:JDY327447 IUA327447:IUC327447 IKE327447:IKG327447 IAI327447:IAK327447 HQM327447:HQO327447 HGQ327447:HGS327447 GWU327447:GWW327447 GMY327447:GNA327447 GDC327447:GDE327447 FTG327447:FTI327447 FJK327447:FJM327447 EZO327447:EZQ327447 EPS327447:EPU327447 EFW327447:EFY327447 DWA327447:DWC327447 DME327447:DMG327447 DCI327447:DCK327447 CSM327447:CSO327447 CIQ327447:CIS327447 BYU327447:BYW327447 BOY327447:BPA327447 BFC327447:BFE327447 AVG327447:AVI327447 ALK327447:ALM327447 ABO327447:ABQ327447 RS327447:RU327447 HW327447:HY327447 WUI261911:WUK261911 WKM261911:WKO261911 WAQ261911:WAS261911 VQU261911:VQW261911 VGY261911:VHA261911 UXC261911:UXE261911 UNG261911:UNI261911 UDK261911:UDM261911 TTO261911:TTQ261911 TJS261911:TJU261911 SZW261911:SZY261911 SQA261911:SQC261911 SGE261911:SGG261911 RWI261911:RWK261911 RMM261911:RMO261911 RCQ261911:RCS261911 QSU261911:QSW261911 QIY261911:QJA261911 PZC261911:PZE261911 PPG261911:PPI261911 PFK261911:PFM261911 OVO261911:OVQ261911 OLS261911:OLU261911 OBW261911:OBY261911 NSA261911:NSC261911 NIE261911:NIG261911 MYI261911:MYK261911 MOM261911:MOO261911 MEQ261911:MES261911 LUU261911:LUW261911 LKY261911:LLA261911 LBC261911:LBE261911 KRG261911:KRI261911 KHK261911:KHM261911 JXO261911:JXQ261911 JNS261911:JNU261911 JDW261911:JDY261911 IUA261911:IUC261911 IKE261911:IKG261911 IAI261911:IAK261911 HQM261911:HQO261911 HGQ261911:HGS261911 GWU261911:GWW261911 GMY261911:GNA261911 GDC261911:GDE261911 FTG261911:FTI261911 FJK261911:FJM261911 EZO261911:EZQ261911 EPS261911:EPU261911 EFW261911:EFY261911 DWA261911:DWC261911 DME261911:DMG261911 DCI261911:DCK261911 CSM261911:CSO261911 CIQ261911:CIS261911 BYU261911:BYW261911 BOY261911:BPA261911 BFC261911:BFE261911 AVG261911:AVI261911 ALK261911:ALM261911 ABO261911:ABQ261911 RS261911:RU261911 HW261911:HY261911 WUI196375:WUK196375 WKM196375:WKO196375 WAQ196375:WAS196375 VQU196375:VQW196375 VGY196375:VHA196375 UXC196375:UXE196375 UNG196375:UNI196375 UDK196375:UDM196375 TTO196375:TTQ196375 TJS196375:TJU196375 SZW196375:SZY196375 SQA196375:SQC196375 SGE196375:SGG196375 RWI196375:RWK196375 RMM196375:RMO196375 RCQ196375:RCS196375 QSU196375:QSW196375 QIY196375:QJA196375 PZC196375:PZE196375 PPG196375:PPI196375 PFK196375:PFM196375 OVO196375:OVQ196375 OLS196375:OLU196375 OBW196375:OBY196375 NSA196375:NSC196375 NIE196375:NIG196375 MYI196375:MYK196375 MOM196375:MOO196375 MEQ196375:MES196375 LUU196375:LUW196375 LKY196375:LLA196375 LBC196375:LBE196375 KRG196375:KRI196375 KHK196375:KHM196375 JXO196375:JXQ196375 JNS196375:JNU196375 JDW196375:JDY196375 IUA196375:IUC196375 IKE196375:IKG196375 IAI196375:IAK196375 HQM196375:HQO196375 HGQ196375:HGS196375 GWU196375:GWW196375 GMY196375:GNA196375 GDC196375:GDE196375 FTG196375:FTI196375 FJK196375:FJM196375 EZO196375:EZQ196375 EPS196375:EPU196375 EFW196375:EFY196375 DWA196375:DWC196375 DME196375:DMG196375 DCI196375:DCK196375 CSM196375:CSO196375 CIQ196375:CIS196375 BYU196375:BYW196375 BOY196375:BPA196375 BFC196375:BFE196375 AVG196375:AVI196375 ALK196375:ALM196375 ABO196375:ABQ196375 RS196375:RU196375 HW196375:HY196375 WUI130839:WUK130839 WKM130839:WKO130839 WAQ130839:WAS130839 VQU130839:VQW130839 VGY130839:VHA130839 UXC130839:UXE130839 UNG130839:UNI130839 UDK130839:UDM130839 TTO130839:TTQ130839 TJS130839:TJU130839 SZW130839:SZY130839 SQA130839:SQC130839 SGE130839:SGG130839 RWI130839:RWK130839 RMM130839:RMO130839 RCQ130839:RCS130839 QSU130839:QSW130839 QIY130839:QJA130839 PZC130839:PZE130839 PPG130839:PPI130839 PFK130839:PFM130839 OVO130839:OVQ130839 OLS130839:OLU130839 OBW130839:OBY130839 NSA130839:NSC130839 NIE130839:NIG130839 MYI130839:MYK130839 MOM130839:MOO130839 MEQ130839:MES130839 LUU130839:LUW130839 LKY130839:LLA130839 LBC130839:LBE130839 KRG130839:KRI130839 KHK130839:KHM130839 JXO130839:JXQ130839 JNS130839:JNU130839 JDW130839:JDY130839 IUA130839:IUC130839 IKE130839:IKG130839 IAI130839:IAK130839 HQM130839:HQO130839 HGQ130839:HGS130839 GWU130839:GWW130839 GMY130839:GNA130839 GDC130839:GDE130839 FTG130839:FTI130839 FJK130839:FJM130839 EZO130839:EZQ130839 EPS130839:EPU130839 EFW130839:EFY130839 DWA130839:DWC130839 DME130839:DMG130839 DCI130839:DCK130839 CSM130839:CSO130839 CIQ130839:CIS130839 BYU130839:BYW130839 BOY130839:BPA130839 BFC130839:BFE130839 AVG130839:AVI130839 ALK130839:ALM130839 ABO130839:ABQ130839 RS130839:RU130839 HW130839:HY130839 WUI65303:WUK65303 WKM65303:WKO65303 WAQ65303:WAS65303 VQU65303:VQW65303 VGY65303:VHA65303 UXC65303:UXE65303 UNG65303:UNI65303 UDK65303:UDM65303 TTO65303:TTQ65303 TJS65303:TJU65303 SZW65303:SZY65303 SQA65303:SQC65303 SGE65303:SGG65303 RWI65303:RWK65303 RMM65303:RMO65303 RCQ65303:RCS65303 QSU65303:QSW65303 QIY65303:QJA65303 PZC65303:PZE65303 PPG65303:PPI65303 PFK65303:PFM65303 OVO65303:OVQ65303 OLS65303:OLU65303 OBW65303:OBY65303 NSA65303:NSC65303 NIE65303:NIG65303 MYI65303:MYK65303 MOM65303:MOO65303 MEQ65303:MES65303 LUU65303:LUW65303 LKY65303:LLA65303 LBC65303:LBE65303 KRG65303:KRI65303 KHK65303:KHM65303 JXO65303:JXQ65303 JNS65303:JNU65303 JDW65303:JDY65303 IUA65303:IUC65303 IKE65303:IKG65303 IAI65303:IAK65303 HQM65303:HQO65303 HGQ65303:HGS65303 GWU65303:GWW65303 GMY65303:GNA65303 GDC65303:GDE65303 FTG65303:FTI65303 FJK65303:FJM65303 EZO65303:EZQ65303 EPS65303:EPU65303 EFW65303:EFY65303 DWA65303:DWC65303 DME65303:DMG65303 DCI65303:DCK65303 CSM65303:CSO65303 CIQ65303:CIS65303 BYU65303:BYW65303 BOY65303:BPA65303 BFC65303:BFE65303 AVG65303:AVI65303 ALK65303:ALM65303 ABO65303:ABQ65303 RS65303:RU65303 HW65303:HY65303 WUI3:WUK3 WKM3:WKO3 WAQ3:WAS3 VQU3:VQW3 VGY3:VHA3 UXC3:UXE3 UNG3:UNI3 UDK3:UDM3 TTO3:TTQ3 TJS3:TJU3 SZW3:SZY3 SQA3:SQC3 SGE3:SGG3 RWI3:RWK3 RMM3:RMO3 RCQ3:RCS3 QSU3:QSW3 QIY3:QJA3 PZC3:PZE3 PPG3:PPI3 PFK3:PFM3 OVO3:OVQ3 OLS3:OLU3 OBW3:OBY3 NSA3:NSC3 NIE3:NIG3 MYI3:MYK3 MOM3:MOO3 MEQ3:MES3 LUU3:LUW3 LKY3:LLA3 LBC3:LBE3 KRG3:KRI3 KHK3:KHM3 JXO3:JXQ3 JNS3:JNU3 JDW3:JDY3 IUA3:IUC3 IKE3:IKG3 IAI3:IAK3 HQM3:HQO3 HGQ3:HGS3 GWU3:GWW3 GMY3:GNA3 GDC3:GDE3 FTG3:FTI3 FJK3:FJM3 EZO3:EZQ3 EPS3:EPU3 EFW3:EFY3 DWA3:DWC3 DME3:DMG3 DCI3:DCK3 CSM3:CSO3 CIQ3:CIS3 BYU3:BYW3 BOY3:BPA3 BFC3:BFE3 AVG3:AVI3 ALK3:ALM3 ABO3:ABQ3 RS3:RU3 B65303:F65303 B130839:F130839 B196375:F196375 B261911:F261911 B327447:F327447 B392983:F392983 B458519:F458519 B524055:F524055 B589591:F589591 B655127:F655127 B720663:F720663 B786199:F786199 B851735:F851735 B917271:F917271 B982807:F982807" xr:uid="{86843BA9-0252-4EA9-B036-6223EFCD499C}">
      <formula1>#REF!</formula1>
    </dataValidation>
    <dataValidation type="list" allowBlank="1" showInputMessage="1" showErrorMessage="1" sqref="WUH982808 A65304 HV65304 RR65304 ABN65304 ALJ65304 AVF65304 BFB65304 BOX65304 BYT65304 CIP65304 CSL65304 DCH65304 DMD65304 DVZ65304 EFV65304 EPR65304 EZN65304 FJJ65304 FTF65304 GDB65304 GMX65304 GWT65304 HGP65304 HQL65304 IAH65304 IKD65304 ITZ65304 JDV65304 JNR65304 JXN65304 KHJ65304 KRF65304 LBB65304 LKX65304 LUT65304 MEP65304 MOL65304 MYH65304 NID65304 NRZ65304 OBV65304 OLR65304 OVN65304 PFJ65304 PPF65304 PZB65304 QIX65304 QST65304 RCP65304 RML65304 RWH65304 SGD65304 SPZ65304 SZV65304 TJR65304 TTN65304 UDJ65304 UNF65304 UXB65304 VGX65304 VQT65304 WAP65304 WKL65304 WUH65304 A130840 HV130840 RR130840 ABN130840 ALJ130840 AVF130840 BFB130840 BOX130840 BYT130840 CIP130840 CSL130840 DCH130840 DMD130840 DVZ130840 EFV130840 EPR130840 EZN130840 FJJ130840 FTF130840 GDB130840 GMX130840 GWT130840 HGP130840 HQL130840 IAH130840 IKD130840 ITZ130840 JDV130840 JNR130840 JXN130840 KHJ130840 KRF130840 LBB130840 LKX130840 LUT130840 MEP130840 MOL130840 MYH130840 NID130840 NRZ130840 OBV130840 OLR130840 OVN130840 PFJ130840 PPF130840 PZB130840 QIX130840 QST130840 RCP130840 RML130840 RWH130840 SGD130840 SPZ130840 SZV130840 TJR130840 TTN130840 UDJ130840 UNF130840 UXB130840 VGX130840 VQT130840 WAP130840 WKL130840 WUH130840 A196376 HV196376 RR196376 ABN196376 ALJ196376 AVF196376 BFB196376 BOX196376 BYT196376 CIP196376 CSL196376 DCH196376 DMD196376 DVZ196376 EFV196376 EPR196376 EZN196376 FJJ196376 FTF196376 GDB196376 GMX196376 GWT196376 HGP196376 HQL196376 IAH196376 IKD196376 ITZ196376 JDV196376 JNR196376 JXN196376 KHJ196376 KRF196376 LBB196376 LKX196376 LUT196376 MEP196376 MOL196376 MYH196376 NID196376 NRZ196376 OBV196376 OLR196376 OVN196376 PFJ196376 PPF196376 PZB196376 QIX196376 QST196376 RCP196376 RML196376 RWH196376 SGD196376 SPZ196376 SZV196376 TJR196376 TTN196376 UDJ196376 UNF196376 UXB196376 VGX196376 VQT196376 WAP196376 WKL196376 WUH196376 A261912 HV261912 RR261912 ABN261912 ALJ261912 AVF261912 BFB261912 BOX261912 BYT261912 CIP261912 CSL261912 DCH261912 DMD261912 DVZ261912 EFV261912 EPR261912 EZN261912 FJJ261912 FTF261912 GDB261912 GMX261912 GWT261912 HGP261912 HQL261912 IAH261912 IKD261912 ITZ261912 JDV261912 JNR261912 JXN261912 KHJ261912 KRF261912 LBB261912 LKX261912 LUT261912 MEP261912 MOL261912 MYH261912 NID261912 NRZ261912 OBV261912 OLR261912 OVN261912 PFJ261912 PPF261912 PZB261912 QIX261912 QST261912 RCP261912 RML261912 RWH261912 SGD261912 SPZ261912 SZV261912 TJR261912 TTN261912 UDJ261912 UNF261912 UXB261912 VGX261912 VQT261912 WAP261912 WKL261912 WUH261912 A327448 HV327448 RR327448 ABN327448 ALJ327448 AVF327448 BFB327448 BOX327448 BYT327448 CIP327448 CSL327448 DCH327448 DMD327448 DVZ327448 EFV327448 EPR327448 EZN327448 FJJ327448 FTF327448 GDB327448 GMX327448 GWT327448 HGP327448 HQL327448 IAH327448 IKD327448 ITZ327448 JDV327448 JNR327448 JXN327448 KHJ327448 KRF327448 LBB327448 LKX327448 LUT327448 MEP327448 MOL327448 MYH327448 NID327448 NRZ327448 OBV327448 OLR327448 OVN327448 PFJ327448 PPF327448 PZB327448 QIX327448 QST327448 RCP327448 RML327448 RWH327448 SGD327448 SPZ327448 SZV327448 TJR327448 TTN327448 UDJ327448 UNF327448 UXB327448 VGX327448 VQT327448 WAP327448 WKL327448 WUH327448 A392984 HV392984 RR392984 ABN392984 ALJ392984 AVF392984 BFB392984 BOX392984 BYT392984 CIP392984 CSL392984 DCH392984 DMD392984 DVZ392984 EFV392984 EPR392984 EZN392984 FJJ392984 FTF392984 GDB392984 GMX392984 GWT392984 HGP392984 HQL392984 IAH392984 IKD392984 ITZ392984 JDV392984 JNR392984 JXN392984 KHJ392984 KRF392984 LBB392984 LKX392984 LUT392984 MEP392984 MOL392984 MYH392984 NID392984 NRZ392984 OBV392984 OLR392984 OVN392984 PFJ392984 PPF392984 PZB392984 QIX392984 QST392984 RCP392984 RML392984 RWH392984 SGD392984 SPZ392984 SZV392984 TJR392984 TTN392984 UDJ392984 UNF392984 UXB392984 VGX392984 VQT392984 WAP392984 WKL392984 WUH392984 A458520 HV458520 RR458520 ABN458520 ALJ458520 AVF458520 BFB458520 BOX458520 BYT458520 CIP458520 CSL458520 DCH458520 DMD458520 DVZ458520 EFV458520 EPR458520 EZN458520 FJJ458520 FTF458520 GDB458520 GMX458520 GWT458520 HGP458520 HQL458520 IAH458520 IKD458520 ITZ458520 JDV458520 JNR458520 JXN458520 KHJ458520 KRF458520 LBB458520 LKX458520 LUT458520 MEP458520 MOL458520 MYH458520 NID458520 NRZ458520 OBV458520 OLR458520 OVN458520 PFJ458520 PPF458520 PZB458520 QIX458520 QST458520 RCP458520 RML458520 RWH458520 SGD458520 SPZ458520 SZV458520 TJR458520 TTN458520 UDJ458520 UNF458520 UXB458520 VGX458520 VQT458520 WAP458520 WKL458520 WUH458520 A524056 HV524056 RR524056 ABN524056 ALJ524056 AVF524056 BFB524056 BOX524056 BYT524056 CIP524056 CSL524056 DCH524056 DMD524056 DVZ524056 EFV524056 EPR524056 EZN524056 FJJ524056 FTF524056 GDB524056 GMX524056 GWT524056 HGP524056 HQL524056 IAH524056 IKD524056 ITZ524056 JDV524056 JNR524056 JXN524056 KHJ524056 KRF524056 LBB524056 LKX524056 LUT524056 MEP524056 MOL524056 MYH524056 NID524056 NRZ524056 OBV524056 OLR524056 OVN524056 PFJ524056 PPF524056 PZB524056 QIX524056 QST524056 RCP524056 RML524056 RWH524056 SGD524056 SPZ524056 SZV524056 TJR524056 TTN524056 UDJ524056 UNF524056 UXB524056 VGX524056 VQT524056 WAP524056 WKL524056 WUH524056 A589592 HV589592 RR589592 ABN589592 ALJ589592 AVF589592 BFB589592 BOX589592 BYT589592 CIP589592 CSL589592 DCH589592 DMD589592 DVZ589592 EFV589592 EPR589592 EZN589592 FJJ589592 FTF589592 GDB589592 GMX589592 GWT589592 HGP589592 HQL589592 IAH589592 IKD589592 ITZ589592 JDV589592 JNR589592 JXN589592 KHJ589592 KRF589592 LBB589592 LKX589592 LUT589592 MEP589592 MOL589592 MYH589592 NID589592 NRZ589592 OBV589592 OLR589592 OVN589592 PFJ589592 PPF589592 PZB589592 QIX589592 QST589592 RCP589592 RML589592 RWH589592 SGD589592 SPZ589592 SZV589592 TJR589592 TTN589592 UDJ589592 UNF589592 UXB589592 VGX589592 VQT589592 WAP589592 WKL589592 WUH589592 A655128 HV655128 RR655128 ABN655128 ALJ655128 AVF655128 BFB655128 BOX655128 BYT655128 CIP655128 CSL655128 DCH655128 DMD655128 DVZ655128 EFV655128 EPR655128 EZN655128 FJJ655128 FTF655128 GDB655128 GMX655128 GWT655128 HGP655128 HQL655128 IAH655128 IKD655128 ITZ655128 JDV655128 JNR655128 JXN655128 KHJ655128 KRF655128 LBB655128 LKX655128 LUT655128 MEP655128 MOL655128 MYH655128 NID655128 NRZ655128 OBV655128 OLR655128 OVN655128 PFJ655128 PPF655128 PZB655128 QIX655128 QST655128 RCP655128 RML655128 RWH655128 SGD655128 SPZ655128 SZV655128 TJR655128 TTN655128 UDJ655128 UNF655128 UXB655128 VGX655128 VQT655128 WAP655128 WKL655128 WUH655128 A720664 HV720664 RR720664 ABN720664 ALJ720664 AVF720664 BFB720664 BOX720664 BYT720664 CIP720664 CSL720664 DCH720664 DMD720664 DVZ720664 EFV720664 EPR720664 EZN720664 FJJ720664 FTF720664 GDB720664 GMX720664 GWT720664 HGP720664 HQL720664 IAH720664 IKD720664 ITZ720664 JDV720664 JNR720664 JXN720664 KHJ720664 KRF720664 LBB720664 LKX720664 LUT720664 MEP720664 MOL720664 MYH720664 NID720664 NRZ720664 OBV720664 OLR720664 OVN720664 PFJ720664 PPF720664 PZB720664 QIX720664 QST720664 RCP720664 RML720664 RWH720664 SGD720664 SPZ720664 SZV720664 TJR720664 TTN720664 UDJ720664 UNF720664 UXB720664 VGX720664 VQT720664 WAP720664 WKL720664 WUH720664 A786200 HV786200 RR786200 ABN786200 ALJ786200 AVF786200 BFB786200 BOX786200 BYT786200 CIP786200 CSL786200 DCH786200 DMD786200 DVZ786200 EFV786200 EPR786200 EZN786200 FJJ786200 FTF786200 GDB786200 GMX786200 GWT786200 HGP786200 HQL786200 IAH786200 IKD786200 ITZ786200 JDV786200 JNR786200 JXN786200 KHJ786200 KRF786200 LBB786200 LKX786200 LUT786200 MEP786200 MOL786200 MYH786200 NID786200 NRZ786200 OBV786200 OLR786200 OVN786200 PFJ786200 PPF786200 PZB786200 QIX786200 QST786200 RCP786200 RML786200 RWH786200 SGD786200 SPZ786200 SZV786200 TJR786200 TTN786200 UDJ786200 UNF786200 UXB786200 VGX786200 VQT786200 WAP786200 WKL786200 WUH786200 A851736 HV851736 RR851736 ABN851736 ALJ851736 AVF851736 BFB851736 BOX851736 BYT851736 CIP851736 CSL851736 DCH851736 DMD851736 DVZ851736 EFV851736 EPR851736 EZN851736 FJJ851736 FTF851736 GDB851736 GMX851736 GWT851736 HGP851736 HQL851736 IAH851736 IKD851736 ITZ851736 JDV851736 JNR851736 JXN851736 KHJ851736 KRF851736 LBB851736 LKX851736 LUT851736 MEP851736 MOL851736 MYH851736 NID851736 NRZ851736 OBV851736 OLR851736 OVN851736 PFJ851736 PPF851736 PZB851736 QIX851736 QST851736 RCP851736 RML851736 RWH851736 SGD851736 SPZ851736 SZV851736 TJR851736 TTN851736 UDJ851736 UNF851736 UXB851736 VGX851736 VQT851736 WAP851736 WKL851736 WUH851736 A917272 HV917272 RR917272 ABN917272 ALJ917272 AVF917272 BFB917272 BOX917272 BYT917272 CIP917272 CSL917272 DCH917272 DMD917272 DVZ917272 EFV917272 EPR917272 EZN917272 FJJ917272 FTF917272 GDB917272 GMX917272 GWT917272 HGP917272 HQL917272 IAH917272 IKD917272 ITZ917272 JDV917272 JNR917272 JXN917272 KHJ917272 KRF917272 LBB917272 LKX917272 LUT917272 MEP917272 MOL917272 MYH917272 NID917272 NRZ917272 OBV917272 OLR917272 OVN917272 PFJ917272 PPF917272 PZB917272 QIX917272 QST917272 RCP917272 RML917272 RWH917272 SGD917272 SPZ917272 SZV917272 TJR917272 TTN917272 UDJ917272 UNF917272 UXB917272 VGX917272 VQT917272 WAP917272 WKL917272 WUH917272 A982808 HV982808 RR982808 ABN982808 ALJ982808 AVF982808 BFB982808 BOX982808 BYT982808 CIP982808 CSL982808 DCH982808 DMD982808 DVZ982808 EFV982808 EPR982808 EZN982808 FJJ982808 FTF982808 GDB982808 GMX982808 GWT982808 HGP982808 HQL982808 IAH982808 IKD982808 ITZ982808 JDV982808 JNR982808 JXN982808 KHJ982808 KRF982808 LBB982808 LKX982808 LUT982808 MEP982808 MOL982808 MYH982808 NID982808 NRZ982808 OBV982808 OLR982808 OVN982808 PFJ982808 PPF982808 PZB982808 QIX982808 QST982808 RCP982808 RML982808 RWH982808 SGD982808 SPZ982808 SZV982808 TJR982808 TTN982808 UDJ982808 UNF982808 UXB982808 VGX982808 VQT982808 WAP982808 WKL982808" xr:uid="{54FD6E56-8DB0-46C2-8350-ED57961631C1}">
      <formula1>A65313:A65315</formula1>
    </dataValidation>
    <dataValidation type="list" allowBlank="1" showInputMessage="1" showErrorMessage="1" sqref="B4" xr:uid="{18AD2C12-5B01-42D6-B9DF-ED86406DB298}">
      <formula1>$A$9:$A$11</formula1>
    </dataValidation>
    <dataValidation type="list" allowBlank="1" showInputMessage="1" showErrorMessage="1" sqref="WKL5 WAP5 VQT5 VGX5 UXB5 UNF5 UDJ5 TTN5 TJR5 SZV5 SPZ5 SGD5 RWH5 RML5 RCP5 QST5 QIX5 PZB5 PPF5 PFJ5 OVN5 OLR5 OBV5 NRZ5 NID5 MYH5 MOL5 MEP5 LUT5 LKX5 LBB5 KRF5 KHJ5 JXN5 JNR5 JDV5 ITZ5 IKD5 IAH5 HQL5 HGP5 GWT5 GMX5 GDB5 FTF5 FJJ5 EZN5 EPR5 EFV5 DVZ5 DMD5 DCH5 CSL5 CIP5 BYT5 BOX5 BFB5 AVF5 ALJ5 ABN5 RR5 HV5 WUH5" xr:uid="{2DA4D6BF-1DDB-403F-BAB6-39A1965FA938}">
      <formula1>HV14:HV19</formula1>
    </dataValidation>
  </dataValidations>
  <printOptions horizontalCentered="1" verticalCentered="1"/>
  <pageMargins left="0.74803149606299213" right="0.35433070866141736" top="0.59055118110236227" bottom="0.43307086614173229" header="0.51181102362204722" footer="0.27559055118110237"/>
  <pageSetup paperSize="9" scale="97"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5BFED0-AD7E-497E-8B0C-658C58E65922}">
  <sheetPr>
    <tabColor indexed="43"/>
  </sheetPr>
  <dimension ref="A1:R174"/>
  <sheetViews>
    <sheetView showZeros="0" view="pageBreakPreview" topLeftCell="B1" zoomScaleNormal="100" zoomScaleSheetLayoutView="100" workbookViewId="0">
      <selection activeCell="C37" sqref="C37:D37"/>
    </sheetView>
  </sheetViews>
  <sheetFormatPr defaultColWidth="7" defaultRowHeight="20.100000000000001" customHeight="1" x14ac:dyDescent="0.3"/>
  <cols>
    <col min="1" max="1" width="13.875" style="69" hidden="1" customWidth="1"/>
    <col min="2" max="4" width="12.625" style="69" customWidth="1"/>
    <col min="5" max="5" width="17.625" style="69" customWidth="1"/>
    <col min="6" max="9" width="12.625" style="69" customWidth="1"/>
    <col min="10" max="10" width="13.625" style="69" customWidth="1"/>
    <col min="11" max="11" width="8.625" style="69" customWidth="1"/>
    <col min="12" max="12" width="4.25" style="68" customWidth="1"/>
    <col min="13" max="13" width="11.75" style="69" customWidth="1"/>
    <col min="14" max="14" width="12.25" style="69" bestFit="1" customWidth="1"/>
    <col min="15" max="15" width="8.625" style="69" customWidth="1"/>
    <col min="16" max="16" width="7" style="69"/>
    <col min="17" max="17" width="8.625" style="69" customWidth="1"/>
    <col min="18" max="234" width="7" style="69"/>
    <col min="235" max="235" width="12.375" style="69" customWidth="1"/>
    <col min="236" max="237" width="7.625" style="69" customWidth="1"/>
    <col min="238" max="238" width="14.375" style="69" customWidth="1"/>
    <col min="239" max="239" width="6.5" style="69" customWidth="1"/>
    <col min="240" max="240" width="3.75" style="69" customWidth="1"/>
    <col min="241" max="242" width="8.75" style="69" customWidth="1"/>
    <col min="243" max="243" width="3.75" style="69" customWidth="1"/>
    <col min="244" max="244" width="15.5" style="69" customWidth="1"/>
    <col min="245" max="245" width="38.625" style="69" customWidth="1"/>
    <col min="246" max="246" width="4.25" style="69" customWidth="1"/>
    <col min="247" max="247" width="11.75" style="69" customWidth="1"/>
    <col min="248" max="248" width="11.375" style="69" bestFit="1" customWidth="1"/>
    <col min="249" max="267" width="7" style="69" customWidth="1"/>
    <col min="268" max="490" width="7" style="69"/>
    <col min="491" max="491" width="12.375" style="69" customWidth="1"/>
    <col min="492" max="493" width="7.625" style="69" customWidth="1"/>
    <col min="494" max="494" width="14.375" style="69" customWidth="1"/>
    <col min="495" max="495" width="6.5" style="69" customWidth="1"/>
    <col min="496" max="496" width="3.75" style="69" customWidth="1"/>
    <col min="497" max="498" width="8.75" style="69" customWidth="1"/>
    <col min="499" max="499" width="3.75" style="69" customWidth="1"/>
    <col min="500" max="500" width="15.5" style="69" customWidth="1"/>
    <col min="501" max="501" width="38.625" style="69" customWidth="1"/>
    <col min="502" max="502" width="4.25" style="69" customWidth="1"/>
    <col min="503" max="503" width="11.75" style="69" customWidth="1"/>
    <col min="504" max="504" width="11.375" style="69" bestFit="1" customWidth="1"/>
    <col min="505" max="523" width="7" style="69" customWidth="1"/>
    <col min="524" max="746" width="7" style="69"/>
    <col min="747" max="747" width="12.375" style="69" customWidth="1"/>
    <col min="748" max="749" width="7.625" style="69" customWidth="1"/>
    <col min="750" max="750" width="14.375" style="69" customWidth="1"/>
    <col min="751" max="751" width="6.5" style="69" customWidth="1"/>
    <col min="752" max="752" width="3.75" style="69" customWidth="1"/>
    <col min="753" max="754" width="8.75" style="69" customWidth="1"/>
    <col min="755" max="755" width="3.75" style="69" customWidth="1"/>
    <col min="756" max="756" width="15.5" style="69" customWidth="1"/>
    <col min="757" max="757" width="38.625" style="69" customWidth="1"/>
    <col min="758" max="758" width="4.25" style="69" customWidth="1"/>
    <col min="759" max="759" width="11.75" style="69" customWidth="1"/>
    <col min="760" max="760" width="11.375" style="69" bestFit="1" customWidth="1"/>
    <col min="761" max="779" width="7" style="69" customWidth="1"/>
    <col min="780" max="1002" width="7" style="69"/>
    <col min="1003" max="1003" width="12.375" style="69" customWidth="1"/>
    <col min="1004" max="1005" width="7.625" style="69" customWidth="1"/>
    <col min="1006" max="1006" width="14.375" style="69" customWidth="1"/>
    <col min="1007" max="1007" width="6.5" style="69" customWidth="1"/>
    <col min="1008" max="1008" width="3.75" style="69" customWidth="1"/>
    <col min="1009" max="1010" width="8.75" style="69" customWidth="1"/>
    <col min="1011" max="1011" width="3.75" style="69" customWidth="1"/>
    <col min="1012" max="1012" width="15.5" style="69" customWidth="1"/>
    <col min="1013" max="1013" width="38.625" style="69" customWidth="1"/>
    <col min="1014" max="1014" width="4.25" style="69" customWidth="1"/>
    <col min="1015" max="1015" width="11.75" style="69" customWidth="1"/>
    <col min="1016" max="1016" width="11.375" style="69" bestFit="1" customWidth="1"/>
    <col min="1017" max="1035" width="7" style="69" customWidth="1"/>
    <col min="1036" max="1258" width="7" style="69"/>
    <col min="1259" max="1259" width="12.375" style="69" customWidth="1"/>
    <col min="1260" max="1261" width="7.625" style="69" customWidth="1"/>
    <col min="1262" max="1262" width="14.375" style="69" customWidth="1"/>
    <col min="1263" max="1263" width="6.5" style="69" customWidth="1"/>
    <col min="1264" max="1264" width="3.75" style="69" customWidth="1"/>
    <col min="1265" max="1266" width="8.75" style="69" customWidth="1"/>
    <col min="1267" max="1267" width="3.75" style="69" customWidth="1"/>
    <col min="1268" max="1268" width="15.5" style="69" customWidth="1"/>
    <col min="1269" max="1269" width="38.625" style="69" customWidth="1"/>
    <col min="1270" max="1270" width="4.25" style="69" customWidth="1"/>
    <col min="1271" max="1271" width="11.75" style="69" customWidth="1"/>
    <col min="1272" max="1272" width="11.375" style="69" bestFit="1" customWidth="1"/>
    <col min="1273" max="1291" width="7" style="69" customWidth="1"/>
    <col min="1292" max="1514" width="7" style="69"/>
    <col min="1515" max="1515" width="12.375" style="69" customWidth="1"/>
    <col min="1516" max="1517" width="7.625" style="69" customWidth="1"/>
    <col min="1518" max="1518" width="14.375" style="69" customWidth="1"/>
    <col min="1519" max="1519" width="6.5" style="69" customWidth="1"/>
    <col min="1520" max="1520" width="3.75" style="69" customWidth="1"/>
    <col min="1521" max="1522" width="8.75" style="69" customWidth="1"/>
    <col min="1523" max="1523" width="3.75" style="69" customWidth="1"/>
    <col min="1524" max="1524" width="15.5" style="69" customWidth="1"/>
    <col min="1525" max="1525" width="38.625" style="69" customWidth="1"/>
    <col min="1526" max="1526" width="4.25" style="69" customWidth="1"/>
    <col min="1527" max="1527" width="11.75" style="69" customWidth="1"/>
    <col min="1528" max="1528" width="11.375" style="69" bestFit="1" customWidth="1"/>
    <col min="1529" max="1547" width="7" style="69" customWidth="1"/>
    <col min="1548" max="1770" width="7" style="69"/>
    <col min="1771" max="1771" width="12.375" style="69" customWidth="1"/>
    <col min="1772" max="1773" width="7.625" style="69" customWidth="1"/>
    <col min="1774" max="1774" width="14.375" style="69" customWidth="1"/>
    <col min="1775" max="1775" width="6.5" style="69" customWidth="1"/>
    <col min="1776" max="1776" width="3.75" style="69" customWidth="1"/>
    <col min="1777" max="1778" width="8.75" style="69" customWidth="1"/>
    <col min="1779" max="1779" width="3.75" style="69" customWidth="1"/>
    <col min="1780" max="1780" width="15.5" style="69" customWidth="1"/>
    <col min="1781" max="1781" width="38.625" style="69" customWidth="1"/>
    <col min="1782" max="1782" width="4.25" style="69" customWidth="1"/>
    <col min="1783" max="1783" width="11.75" style="69" customWidth="1"/>
    <col min="1784" max="1784" width="11.375" style="69" bestFit="1" customWidth="1"/>
    <col min="1785" max="1803" width="7" style="69" customWidth="1"/>
    <col min="1804" max="2026" width="7" style="69"/>
    <col min="2027" max="2027" width="12.375" style="69" customWidth="1"/>
    <col min="2028" max="2029" width="7.625" style="69" customWidth="1"/>
    <col min="2030" max="2030" width="14.375" style="69" customWidth="1"/>
    <col min="2031" max="2031" width="6.5" style="69" customWidth="1"/>
    <col min="2032" max="2032" width="3.75" style="69" customWidth="1"/>
    <col min="2033" max="2034" width="8.75" style="69" customWidth="1"/>
    <col min="2035" max="2035" width="3.75" style="69" customWidth="1"/>
    <col min="2036" max="2036" width="15.5" style="69" customWidth="1"/>
    <col min="2037" max="2037" width="38.625" style="69" customWidth="1"/>
    <col min="2038" max="2038" width="4.25" style="69" customWidth="1"/>
    <col min="2039" max="2039" width="11.75" style="69" customWidth="1"/>
    <col min="2040" max="2040" width="11.375" style="69" bestFit="1" customWidth="1"/>
    <col min="2041" max="2059" width="7" style="69" customWidth="1"/>
    <col min="2060" max="2282" width="7" style="69"/>
    <col min="2283" max="2283" width="12.375" style="69" customWidth="1"/>
    <col min="2284" max="2285" width="7.625" style="69" customWidth="1"/>
    <col min="2286" max="2286" width="14.375" style="69" customWidth="1"/>
    <col min="2287" max="2287" width="6.5" style="69" customWidth="1"/>
    <col min="2288" max="2288" width="3.75" style="69" customWidth="1"/>
    <col min="2289" max="2290" width="8.75" style="69" customWidth="1"/>
    <col min="2291" max="2291" width="3.75" style="69" customWidth="1"/>
    <col min="2292" max="2292" width="15.5" style="69" customWidth="1"/>
    <col min="2293" max="2293" width="38.625" style="69" customWidth="1"/>
    <col min="2294" max="2294" width="4.25" style="69" customWidth="1"/>
    <col min="2295" max="2295" width="11.75" style="69" customWidth="1"/>
    <col min="2296" max="2296" width="11.375" style="69" bestFit="1" customWidth="1"/>
    <col min="2297" max="2315" width="7" style="69" customWidth="1"/>
    <col min="2316" max="2538" width="7" style="69"/>
    <col min="2539" max="2539" width="12.375" style="69" customWidth="1"/>
    <col min="2540" max="2541" width="7.625" style="69" customWidth="1"/>
    <col min="2542" max="2542" width="14.375" style="69" customWidth="1"/>
    <col min="2543" max="2543" width="6.5" style="69" customWidth="1"/>
    <col min="2544" max="2544" width="3.75" style="69" customWidth="1"/>
    <col min="2545" max="2546" width="8.75" style="69" customWidth="1"/>
    <col min="2547" max="2547" width="3.75" style="69" customWidth="1"/>
    <col min="2548" max="2548" width="15.5" style="69" customWidth="1"/>
    <col min="2549" max="2549" width="38.625" style="69" customWidth="1"/>
    <col min="2550" max="2550" width="4.25" style="69" customWidth="1"/>
    <col min="2551" max="2551" width="11.75" style="69" customWidth="1"/>
    <col min="2552" max="2552" width="11.375" style="69" bestFit="1" customWidth="1"/>
    <col min="2553" max="2571" width="7" style="69" customWidth="1"/>
    <col min="2572" max="2794" width="7" style="69"/>
    <col min="2795" max="2795" width="12.375" style="69" customWidth="1"/>
    <col min="2796" max="2797" width="7.625" style="69" customWidth="1"/>
    <col min="2798" max="2798" width="14.375" style="69" customWidth="1"/>
    <col min="2799" max="2799" width="6.5" style="69" customWidth="1"/>
    <col min="2800" max="2800" width="3.75" style="69" customWidth="1"/>
    <col min="2801" max="2802" width="8.75" style="69" customWidth="1"/>
    <col min="2803" max="2803" width="3.75" style="69" customWidth="1"/>
    <col min="2804" max="2804" width="15.5" style="69" customWidth="1"/>
    <col min="2805" max="2805" width="38.625" style="69" customWidth="1"/>
    <col min="2806" max="2806" width="4.25" style="69" customWidth="1"/>
    <col min="2807" max="2807" width="11.75" style="69" customWidth="1"/>
    <col min="2808" max="2808" width="11.375" style="69" bestFit="1" customWidth="1"/>
    <col min="2809" max="2827" width="7" style="69" customWidth="1"/>
    <col min="2828" max="3050" width="7" style="69"/>
    <col min="3051" max="3051" width="12.375" style="69" customWidth="1"/>
    <col min="3052" max="3053" width="7.625" style="69" customWidth="1"/>
    <col min="3054" max="3054" width="14.375" style="69" customWidth="1"/>
    <col min="3055" max="3055" width="6.5" style="69" customWidth="1"/>
    <col min="3056" max="3056" width="3.75" style="69" customWidth="1"/>
    <col min="3057" max="3058" width="8.75" style="69" customWidth="1"/>
    <col min="3059" max="3059" width="3.75" style="69" customWidth="1"/>
    <col min="3060" max="3060" width="15.5" style="69" customWidth="1"/>
    <col min="3061" max="3061" width="38.625" style="69" customWidth="1"/>
    <col min="3062" max="3062" width="4.25" style="69" customWidth="1"/>
    <col min="3063" max="3063" width="11.75" style="69" customWidth="1"/>
    <col min="3064" max="3064" width="11.375" style="69" bestFit="1" customWidth="1"/>
    <col min="3065" max="3083" width="7" style="69" customWidth="1"/>
    <col min="3084" max="3306" width="7" style="69"/>
    <col min="3307" max="3307" width="12.375" style="69" customWidth="1"/>
    <col min="3308" max="3309" width="7.625" style="69" customWidth="1"/>
    <col min="3310" max="3310" width="14.375" style="69" customWidth="1"/>
    <col min="3311" max="3311" width="6.5" style="69" customWidth="1"/>
    <col min="3312" max="3312" width="3.75" style="69" customWidth="1"/>
    <col min="3313" max="3314" width="8.75" style="69" customWidth="1"/>
    <col min="3315" max="3315" width="3.75" style="69" customWidth="1"/>
    <col min="3316" max="3316" width="15.5" style="69" customWidth="1"/>
    <col min="3317" max="3317" width="38.625" style="69" customWidth="1"/>
    <col min="3318" max="3318" width="4.25" style="69" customWidth="1"/>
    <col min="3319" max="3319" width="11.75" style="69" customWidth="1"/>
    <col min="3320" max="3320" width="11.375" style="69" bestFit="1" customWidth="1"/>
    <col min="3321" max="3339" width="7" style="69" customWidth="1"/>
    <col min="3340" max="3562" width="7" style="69"/>
    <col min="3563" max="3563" width="12.375" style="69" customWidth="1"/>
    <col min="3564" max="3565" width="7.625" style="69" customWidth="1"/>
    <col min="3566" max="3566" width="14.375" style="69" customWidth="1"/>
    <col min="3567" max="3567" width="6.5" style="69" customWidth="1"/>
    <col min="3568" max="3568" width="3.75" style="69" customWidth="1"/>
    <col min="3569" max="3570" width="8.75" style="69" customWidth="1"/>
    <col min="3571" max="3571" width="3.75" style="69" customWidth="1"/>
    <col min="3572" max="3572" width="15.5" style="69" customWidth="1"/>
    <col min="3573" max="3573" width="38.625" style="69" customWidth="1"/>
    <col min="3574" max="3574" width="4.25" style="69" customWidth="1"/>
    <col min="3575" max="3575" width="11.75" style="69" customWidth="1"/>
    <col min="3576" max="3576" width="11.375" style="69" bestFit="1" customWidth="1"/>
    <col min="3577" max="3595" width="7" style="69" customWidth="1"/>
    <col min="3596" max="3818" width="7" style="69"/>
    <col min="3819" max="3819" width="12.375" style="69" customWidth="1"/>
    <col min="3820" max="3821" width="7.625" style="69" customWidth="1"/>
    <col min="3822" max="3822" width="14.375" style="69" customWidth="1"/>
    <col min="3823" max="3823" width="6.5" style="69" customWidth="1"/>
    <col min="3824" max="3824" width="3.75" style="69" customWidth="1"/>
    <col min="3825" max="3826" width="8.75" style="69" customWidth="1"/>
    <col min="3827" max="3827" width="3.75" style="69" customWidth="1"/>
    <col min="3828" max="3828" width="15.5" style="69" customWidth="1"/>
    <col min="3829" max="3829" width="38.625" style="69" customWidth="1"/>
    <col min="3830" max="3830" width="4.25" style="69" customWidth="1"/>
    <col min="3831" max="3831" width="11.75" style="69" customWidth="1"/>
    <col min="3832" max="3832" width="11.375" style="69" bestFit="1" customWidth="1"/>
    <col min="3833" max="3851" width="7" style="69" customWidth="1"/>
    <col min="3852" max="4074" width="7" style="69"/>
    <col min="4075" max="4075" width="12.375" style="69" customWidth="1"/>
    <col min="4076" max="4077" width="7.625" style="69" customWidth="1"/>
    <col min="4078" max="4078" width="14.375" style="69" customWidth="1"/>
    <col min="4079" max="4079" width="6.5" style="69" customWidth="1"/>
    <col min="4080" max="4080" width="3.75" style="69" customWidth="1"/>
    <col min="4081" max="4082" width="8.75" style="69" customWidth="1"/>
    <col min="4083" max="4083" width="3.75" style="69" customWidth="1"/>
    <col min="4084" max="4084" width="15.5" style="69" customWidth="1"/>
    <col min="4085" max="4085" width="38.625" style="69" customWidth="1"/>
    <col min="4086" max="4086" width="4.25" style="69" customWidth="1"/>
    <col min="4087" max="4087" width="11.75" style="69" customWidth="1"/>
    <col min="4088" max="4088" width="11.375" style="69" bestFit="1" customWidth="1"/>
    <col min="4089" max="4107" width="7" style="69" customWidth="1"/>
    <col min="4108" max="4330" width="7" style="69"/>
    <col min="4331" max="4331" width="12.375" style="69" customWidth="1"/>
    <col min="4332" max="4333" width="7.625" style="69" customWidth="1"/>
    <col min="4334" max="4334" width="14.375" style="69" customWidth="1"/>
    <col min="4335" max="4335" width="6.5" style="69" customWidth="1"/>
    <col min="4336" max="4336" width="3.75" style="69" customWidth="1"/>
    <col min="4337" max="4338" width="8.75" style="69" customWidth="1"/>
    <col min="4339" max="4339" width="3.75" style="69" customWidth="1"/>
    <col min="4340" max="4340" width="15.5" style="69" customWidth="1"/>
    <col min="4341" max="4341" width="38.625" style="69" customWidth="1"/>
    <col min="4342" max="4342" width="4.25" style="69" customWidth="1"/>
    <col min="4343" max="4343" width="11.75" style="69" customWidth="1"/>
    <col min="4344" max="4344" width="11.375" style="69" bestFit="1" customWidth="1"/>
    <col min="4345" max="4363" width="7" style="69" customWidth="1"/>
    <col min="4364" max="4586" width="7" style="69"/>
    <col min="4587" max="4587" width="12.375" style="69" customWidth="1"/>
    <col min="4588" max="4589" width="7.625" style="69" customWidth="1"/>
    <col min="4590" max="4590" width="14.375" style="69" customWidth="1"/>
    <col min="4591" max="4591" width="6.5" style="69" customWidth="1"/>
    <col min="4592" max="4592" width="3.75" style="69" customWidth="1"/>
    <col min="4593" max="4594" width="8.75" style="69" customWidth="1"/>
    <col min="4595" max="4595" width="3.75" style="69" customWidth="1"/>
    <col min="4596" max="4596" width="15.5" style="69" customWidth="1"/>
    <col min="4597" max="4597" width="38.625" style="69" customWidth="1"/>
    <col min="4598" max="4598" width="4.25" style="69" customWidth="1"/>
    <col min="4599" max="4599" width="11.75" style="69" customWidth="1"/>
    <col min="4600" max="4600" width="11.375" style="69" bestFit="1" customWidth="1"/>
    <col min="4601" max="4619" width="7" style="69" customWidth="1"/>
    <col min="4620" max="4842" width="7" style="69"/>
    <col min="4843" max="4843" width="12.375" style="69" customWidth="1"/>
    <col min="4844" max="4845" width="7.625" style="69" customWidth="1"/>
    <col min="4846" max="4846" width="14.375" style="69" customWidth="1"/>
    <col min="4847" max="4847" width="6.5" style="69" customWidth="1"/>
    <col min="4848" max="4848" width="3.75" style="69" customWidth="1"/>
    <col min="4849" max="4850" width="8.75" style="69" customWidth="1"/>
    <col min="4851" max="4851" width="3.75" style="69" customWidth="1"/>
    <col min="4852" max="4852" width="15.5" style="69" customWidth="1"/>
    <col min="4853" max="4853" width="38.625" style="69" customWidth="1"/>
    <col min="4854" max="4854" width="4.25" style="69" customWidth="1"/>
    <col min="4855" max="4855" width="11.75" style="69" customWidth="1"/>
    <col min="4856" max="4856" width="11.375" style="69" bestFit="1" customWidth="1"/>
    <col min="4857" max="4875" width="7" style="69" customWidth="1"/>
    <col min="4876" max="5098" width="7" style="69"/>
    <col min="5099" max="5099" width="12.375" style="69" customWidth="1"/>
    <col min="5100" max="5101" width="7.625" style="69" customWidth="1"/>
    <col min="5102" max="5102" width="14.375" style="69" customWidth="1"/>
    <col min="5103" max="5103" width="6.5" style="69" customWidth="1"/>
    <col min="5104" max="5104" width="3.75" style="69" customWidth="1"/>
    <col min="5105" max="5106" width="8.75" style="69" customWidth="1"/>
    <col min="5107" max="5107" width="3.75" style="69" customWidth="1"/>
    <col min="5108" max="5108" width="15.5" style="69" customWidth="1"/>
    <col min="5109" max="5109" width="38.625" style="69" customWidth="1"/>
    <col min="5110" max="5110" width="4.25" style="69" customWidth="1"/>
    <col min="5111" max="5111" width="11.75" style="69" customWidth="1"/>
    <col min="5112" max="5112" width="11.375" style="69" bestFit="1" customWidth="1"/>
    <col min="5113" max="5131" width="7" style="69" customWidth="1"/>
    <col min="5132" max="5354" width="7" style="69"/>
    <col min="5355" max="5355" width="12.375" style="69" customWidth="1"/>
    <col min="5356" max="5357" width="7.625" style="69" customWidth="1"/>
    <col min="5358" max="5358" width="14.375" style="69" customWidth="1"/>
    <col min="5359" max="5359" width="6.5" style="69" customWidth="1"/>
    <col min="5360" max="5360" width="3.75" style="69" customWidth="1"/>
    <col min="5361" max="5362" width="8.75" style="69" customWidth="1"/>
    <col min="5363" max="5363" width="3.75" style="69" customWidth="1"/>
    <col min="5364" max="5364" width="15.5" style="69" customWidth="1"/>
    <col min="5365" max="5365" width="38.625" style="69" customWidth="1"/>
    <col min="5366" max="5366" width="4.25" style="69" customWidth="1"/>
    <col min="5367" max="5367" width="11.75" style="69" customWidth="1"/>
    <col min="5368" max="5368" width="11.375" style="69" bestFit="1" customWidth="1"/>
    <col min="5369" max="5387" width="7" style="69" customWidth="1"/>
    <col min="5388" max="5610" width="7" style="69"/>
    <col min="5611" max="5611" width="12.375" style="69" customWidth="1"/>
    <col min="5612" max="5613" width="7.625" style="69" customWidth="1"/>
    <col min="5614" max="5614" width="14.375" style="69" customWidth="1"/>
    <col min="5615" max="5615" width="6.5" style="69" customWidth="1"/>
    <col min="5616" max="5616" width="3.75" style="69" customWidth="1"/>
    <col min="5617" max="5618" width="8.75" style="69" customWidth="1"/>
    <col min="5619" max="5619" width="3.75" style="69" customWidth="1"/>
    <col min="5620" max="5620" width="15.5" style="69" customWidth="1"/>
    <col min="5621" max="5621" width="38.625" style="69" customWidth="1"/>
    <col min="5622" max="5622" width="4.25" style="69" customWidth="1"/>
    <col min="5623" max="5623" width="11.75" style="69" customWidth="1"/>
    <col min="5624" max="5624" width="11.375" style="69" bestFit="1" customWidth="1"/>
    <col min="5625" max="5643" width="7" style="69" customWidth="1"/>
    <col min="5644" max="5866" width="7" style="69"/>
    <col min="5867" max="5867" width="12.375" style="69" customWidth="1"/>
    <col min="5868" max="5869" width="7.625" style="69" customWidth="1"/>
    <col min="5870" max="5870" width="14.375" style="69" customWidth="1"/>
    <col min="5871" max="5871" width="6.5" style="69" customWidth="1"/>
    <col min="5872" max="5872" width="3.75" style="69" customWidth="1"/>
    <col min="5873" max="5874" width="8.75" style="69" customWidth="1"/>
    <col min="5875" max="5875" width="3.75" style="69" customWidth="1"/>
    <col min="5876" max="5876" width="15.5" style="69" customWidth="1"/>
    <col min="5877" max="5877" width="38.625" style="69" customWidth="1"/>
    <col min="5878" max="5878" width="4.25" style="69" customWidth="1"/>
    <col min="5879" max="5879" width="11.75" style="69" customWidth="1"/>
    <col min="5880" max="5880" width="11.375" style="69" bestFit="1" customWidth="1"/>
    <col min="5881" max="5899" width="7" style="69" customWidth="1"/>
    <col min="5900" max="6122" width="7" style="69"/>
    <col min="6123" max="6123" width="12.375" style="69" customWidth="1"/>
    <col min="6124" max="6125" width="7.625" style="69" customWidth="1"/>
    <col min="6126" max="6126" width="14.375" style="69" customWidth="1"/>
    <col min="6127" max="6127" width="6.5" style="69" customWidth="1"/>
    <col min="6128" max="6128" width="3.75" style="69" customWidth="1"/>
    <col min="6129" max="6130" width="8.75" style="69" customWidth="1"/>
    <col min="6131" max="6131" width="3.75" style="69" customWidth="1"/>
    <col min="6132" max="6132" width="15.5" style="69" customWidth="1"/>
    <col min="6133" max="6133" width="38.625" style="69" customWidth="1"/>
    <col min="6134" max="6134" width="4.25" style="69" customWidth="1"/>
    <col min="6135" max="6135" width="11.75" style="69" customWidth="1"/>
    <col min="6136" max="6136" width="11.375" style="69" bestFit="1" customWidth="1"/>
    <col min="6137" max="6155" width="7" style="69" customWidth="1"/>
    <col min="6156" max="6378" width="7" style="69"/>
    <col min="6379" max="6379" width="12.375" style="69" customWidth="1"/>
    <col min="6380" max="6381" width="7.625" style="69" customWidth="1"/>
    <col min="6382" max="6382" width="14.375" style="69" customWidth="1"/>
    <col min="6383" max="6383" width="6.5" style="69" customWidth="1"/>
    <col min="6384" max="6384" width="3.75" style="69" customWidth="1"/>
    <col min="6385" max="6386" width="8.75" style="69" customWidth="1"/>
    <col min="6387" max="6387" width="3.75" style="69" customWidth="1"/>
    <col min="6388" max="6388" width="15.5" style="69" customWidth="1"/>
    <col min="6389" max="6389" width="38.625" style="69" customWidth="1"/>
    <col min="6390" max="6390" width="4.25" style="69" customWidth="1"/>
    <col min="6391" max="6391" width="11.75" style="69" customWidth="1"/>
    <col min="6392" max="6392" width="11.375" style="69" bestFit="1" customWidth="1"/>
    <col min="6393" max="6411" width="7" style="69" customWidth="1"/>
    <col min="6412" max="6634" width="7" style="69"/>
    <col min="6635" max="6635" width="12.375" style="69" customWidth="1"/>
    <col min="6636" max="6637" width="7.625" style="69" customWidth="1"/>
    <col min="6638" max="6638" width="14.375" style="69" customWidth="1"/>
    <col min="6639" max="6639" width="6.5" style="69" customWidth="1"/>
    <col min="6640" max="6640" width="3.75" style="69" customWidth="1"/>
    <col min="6641" max="6642" width="8.75" style="69" customWidth="1"/>
    <col min="6643" max="6643" width="3.75" style="69" customWidth="1"/>
    <col min="6644" max="6644" width="15.5" style="69" customWidth="1"/>
    <col min="6645" max="6645" width="38.625" style="69" customWidth="1"/>
    <col min="6646" max="6646" width="4.25" style="69" customWidth="1"/>
    <col min="6647" max="6647" width="11.75" style="69" customWidth="1"/>
    <col min="6648" max="6648" width="11.375" style="69" bestFit="1" customWidth="1"/>
    <col min="6649" max="6667" width="7" style="69" customWidth="1"/>
    <col min="6668" max="6890" width="7" style="69"/>
    <col min="6891" max="6891" width="12.375" style="69" customWidth="1"/>
    <col min="6892" max="6893" width="7.625" style="69" customWidth="1"/>
    <col min="6894" max="6894" width="14.375" style="69" customWidth="1"/>
    <col min="6895" max="6895" width="6.5" style="69" customWidth="1"/>
    <col min="6896" max="6896" width="3.75" style="69" customWidth="1"/>
    <col min="6897" max="6898" width="8.75" style="69" customWidth="1"/>
    <col min="6899" max="6899" width="3.75" style="69" customWidth="1"/>
    <col min="6900" max="6900" width="15.5" style="69" customWidth="1"/>
    <col min="6901" max="6901" width="38.625" style="69" customWidth="1"/>
    <col min="6902" max="6902" width="4.25" style="69" customWidth="1"/>
    <col min="6903" max="6903" width="11.75" style="69" customWidth="1"/>
    <col min="6904" max="6904" width="11.375" style="69" bestFit="1" customWidth="1"/>
    <col min="6905" max="6923" width="7" style="69" customWidth="1"/>
    <col min="6924" max="7146" width="7" style="69"/>
    <col min="7147" max="7147" width="12.375" style="69" customWidth="1"/>
    <col min="7148" max="7149" width="7.625" style="69" customWidth="1"/>
    <col min="7150" max="7150" width="14.375" style="69" customWidth="1"/>
    <col min="7151" max="7151" width="6.5" style="69" customWidth="1"/>
    <col min="7152" max="7152" width="3.75" style="69" customWidth="1"/>
    <col min="7153" max="7154" width="8.75" style="69" customWidth="1"/>
    <col min="7155" max="7155" width="3.75" style="69" customWidth="1"/>
    <col min="7156" max="7156" width="15.5" style="69" customWidth="1"/>
    <col min="7157" max="7157" width="38.625" style="69" customWidth="1"/>
    <col min="7158" max="7158" width="4.25" style="69" customWidth="1"/>
    <col min="7159" max="7159" width="11.75" style="69" customWidth="1"/>
    <col min="7160" max="7160" width="11.375" style="69" bestFit="1" customWidth="1"/>
    <col min="7161" max="7179" width="7" style="69" customWidth="1"/>
    <col min="7180" max="7402" width="7" style="69"/>
    <col min="7403" max="7403" width="12.375" style="69" customWidth="1"/>
    <col min="7404" max="7405" width="7.625" style="69" customWidth="1"/>
    <col min="7406" max="7406" width="14.375" style="69" customWidth="1"/>
    <col min="7407" max="7407" width="6.5" style="69" customWidth="1"/>
    <col min="7408" max="7408" width="3.75" style="69" customWidth="1"/>
    <col min="7409" max="7410" width="8.75" style="69" customWidth="1"/>
    <col min="7411" max="7411" width="3.75" style="69" customWidth="1"/>
    <col min="7412" max="7412" width="15.5" style="69" customWidth="1"/>
    <col min="7413" max="7413" width="38.625" style="69" customWidth="1"/>
    <col min="7414" max="7414" width="4.25" style="69" customWidth="1"/>
    <col min="7415" max="7415" width="11.75" style="69" customWidth="1"/>
    <col min="7416" max="7416" width="11.375" style="69" bestFit="1" customWidth="1"/>
    <col min="7417" max="7435" width="7" style="69" customWidth="1"/>
    <col min="7436" max="7658" width="7" style="69"/>
    <col min="7659" max="7659" width="12.375" style="69" customWidth="1"/>
    <col min="7660" max="7661" width="7.625" style="69" customWidth="1"/>
    <col min="7662" max="7662" width="14.375" style="69" customWidth="1"/>
    <col min="7663" max="7663" width="6.5" style="69" customWidth="1"/>
    <col min="7664" max="7664" width="3.75" style="69" customWidth="1"/>
    <col min="7665" max="7666" width="8.75" style="69" customWidth="1"/>
    <col min="7667" max="7667" width="3.75" style="69" customWidth="1"/>
    <col min="7668" max="7668" width="15.5" style="69" customWidth="1"/>
    <col min="7669" max="7669" width="38.625" style="69" customWidth="1"/>
    <col min="7670" max="7670" width="4.25" style="69" customWidth="1"/>
    <col min="7671" max="7671" width="11.75" style="69" customWidth="1"/>
    <col min="7672" max="7672" width="11.375" style="69" bestFit="1" customWidth="1"/>
    <col min="7673" max="7691" width="7" style="69" customWidth="1"/>
    <col min="7692" max="7914" width="7" style="69"/>
    <col min="7915" max="7915" width="12.375" style="69" customWidth="1"/>
    <col min="7916" max="7917" width="7.625" style="69" customWidth="1"/>
    <col min="7918" max="7918" width="14.375" style="69" customWidth="1"/>
    <col min="7919" max="7919" width="6.5" style="69" customWidth="1"/>
    <col min="7920" max="7920" width="3.75" style="69" customWidth="1"/>
    <col min="7921" max="7922" width="8.75" style="69" customWidth="1"/>
    <col min="7923" max="7923" width="3.75" style="69" customWidth="1"/>
    <col min="7924" max="7924" width="15.5" style="69" customWidth="1"/>
    <col min="7925" max="7925" width="38.625" style="69" customWidth="1"/>
    <col min="7926" max="7926" width="4.25" style="69" customWidth="1"/>
    <col min="7927" max="7927" width="11.75" style="69" customWidth="1"/>
    <col min="7928" max="7928" width="11.375" style="69" bestFit="1" customWidth="1"/>
    <col min="7929" max="7947" width="7" style="69" customWidth="1"/>
    <col min="7948" max="8170" width="7" style="69"/>
    <col min="8171" max="8171" width="12.375" style="69" customWidth="1"/>
    <col min="8172" max="8173" width="7.625" style="69" customWidth="1"/>
    <col min="8174" max="8174" width="14.375" style="69" customWidth="1"/>
    <col min="8175" max="8175" width="6.5" style="69" customWidth="1"/>
    <col min="8176" max="8176" width="3.75" style="69" customWidth="1"/>
    <col min="8177" max="8178" width="8.75" style="69" customWidth="1"/>
    <col min="8179" max="8179" width="3.75" style="69" customWidth="1"/>
    <col min="8180" max="8180" width="15.5" style="69" customWidth="1"/>
    <col min="8181" max="8181" width="38.625" style="69" customWidth="1"/>
    <col min="8182" max="8182" width="4.25" style="69" customWidth="1"/>
    <col min="8183" max="8183" width="11.75" style="69" customWidth="1"/>
    <col min="8184" max="8184" width="11.375" style="69" bestFit="1" customWidth="1"/>
    <col min="8185" max="8203" width="7" style="69" customWidth="1"/>
    <col min="8204" max="8426" width="7" style="69"/>
    <col min="8427" max="8427" width="12.375" style="69" customWidth="1"/>
    <col min="8428" max="8429" width="7.625" style="69" customWidth="1"/>
    <col min="8430" max="8430" width="14.375" style="69" customWidth="1"/>
    <col min="8431" max="8431" width="6.5" style="69" customWidth="1"/>
    <col min="8432" max="8432" width="3.75" style="69" customWidth="1"/>
    <col min="8433" max="8434" width="8.75" style="69" customWidth="1"/>
    <col min="8435" max="8435" width="3.75" style="69" customWidth="1"/>
    <col min="8436" max="8436" width="15.5" style="69" customWidth="1"/>
    <col min="8437" max="8437" width="38.625" style="69" customWidth="1"/>
    <col min="8438" max="8438" width="4.25" style="69" customWidth="1"/>
    <col min="8439" max="8439" width="11.75" style="69" customWidth="1"/>
    <col min="8440" max="8440" width="11.375" style="69" bestFit="1" customWidth="1"/>
    <col min="8441" max="8459" width="7" style="69" customWidth="1"/>
    <col min="8460" max="8682" width="7" style="69"/>
    <col min="8683" max="8683" width="12.375" style="69" customWidth="1"/>
    <col min="8684" max="8685" width="7.625" style="69" customWidth="1"/>
    <col min="8686" max="8686" width="14.375" style="69" customWidth="1"/>
    <col min="8687" max="8687" width="6.5" style="69" customWidth="1"/>
    <col min="8688" max="8688" width="3.75" style="69" customWidth="1"/>
    <col min="8689" max="8690" width="8.75" style="69" customWidth="1"/>
    <col min="8691" max="8691" width="3.75" style="69" customWidth="1"/>
    <col min="8692" max="8692" width="15.5" style="69" customWidth="1"/>
    <col min="8693" max="8693" width="38.625" style="69" customWidth="1"/>
    <col min="8694" max="8694" width="4.25" style="69" customWidth="1"/>
    <col min="8695" max="8695" width="11.75" style="69" customWidth="1"/>
    <col min="8696" max="8696" width="11.375" style="69" bestFit="1" customWidth="1"/>
    <col min="8697" max="8715" width="7" style="69" customWidth="1"/>
    <col min="8716" max="8938" width="7" style="69"/>
    <col min="8939" max="8939" width="12.375" style="69" customWidth="1"/>
    <col min="8940" max="8941" width="7.625" style="69" customWidth="1"/>
    <col min="8942" max="8942" width="14.375" style="69" customWidth="1"/>
    <col min="8943" max="8943" width="6.5" style="69" customWidth="1"/>
    <col min="8944" max="8944" width="3.75" style="69" customWidth="1"/>
    <col min="8945" max="8946" width="8.75" style="69" customWidth="1"/>
    <col min="8947" max="8947" width="3.75" style="69" customWidth="1"/>
    <col min="8948" max="8948" width="15.5" style="69" customWidth="1"/>
    <col min="8949" max="8949" width="38.625" style="69" customWidth="1"/>
    <col min="8950" max="8950" width="4.25" style="69" customWidth="1"/>
    <col min="8951" max="8951" width="11.75" style="69" customWidth="1"/>
    <col min="8952" max="8952" width="11.375" style="69" bestFit="1" customWidth="1"/>
    <col min="8953" max="8971" width="7" style="69" customWidth="1"/>
    <col min="8972" max="9194" width="7" style="69"/>
    <col min="9195" max="9195" width="12.375" style="69" customWidth="1"/>
    <col min="9196" max="9197" width="7.625" style="69" customWidth="1"/>
    <col min="9198" max="9198" width="14.375" style="69" customWidth="1"/>
    <col min="9199" max="9199" width="6.5" style="69" customWidth="1"/>
    <col min="9200" max="9200" width="3.75" style="69" customWidth="1"/>
    <col min="9201" max="9202" width="8.75" style="69" customWidth="1"/>
    <col min="9203" max="9203" width="3.75" style="69" customWidth="1"/>
    <col min="9204" max="9204" width="15.5" style="69" customWidth="1"/>
    <col min="9205" max="9205" width="38.625" style="69" customWidth="1"/>
    <col min="9206" max="9206" width="4.25" style="69" customWidth="1"/>
    <col min="9207" max="9207" width="11.75" style="69" customWidth="1"/>
    <col min="9208" max="9208" width="11.375" style="69" bestFit="1" customWidth="1"/>
    <col min="9209" max="9227" width="7" style="69" customWidth="1"/>
    <col min="9228" max="9450" width="7" style="69"/>
    <col min="9451" max="9451" width="12.375" style="69" customWidth="1"/>
    <col min="9452" max="9453" width="7.625" style="69" customWidth="1"/>
    <col min="9454" max="9454" width="14.375" style="69" customWidth="1"/>
    <col min="9455" max="9455" width="6.5" style="69" customWidth="1"/>
    <col min="9456" max="9456" width="3.75" style="69" customWidth="1"/>
    <col min="9457" max="9458" width="8.75" style="69" customWidth="1"/>
    <col min="9459" max="9459" width="3.75" style="69" customWidth="1"/>
    <col min="9460" max="9460" width="15.5" style="69" customWidth="1"/>
    <col min="9461" max="9461" width="38.625" style="69" customWidth="1"/>
    <col min="9462" max="9462" width="4.25" style="69" customWidth="1"/>
    <col min="9463" max="9463" width="11.75" style="69" customWidth="1"/>
    <col min="9464" max="9464" width="11.375" style="69" bestFit="1" customWidth="1"/>
    <col min="9465" max="9483" width="7" style="69" customWidth="1"/>
    <col min="9484" max="9706" width="7" style="69"/>
    <col min="9707" max="9707" width="12.375" style="69" customWidth="1"/>
    <col min="9708" max="9709" width="7.625" style="69" customWidth="1"/>
    <col min="9710" max="9710" width="14.375" style="69" customWidth="1"/>
    <col min="9711" max="9711" width="6.5" style="69" customWidth="1"/>
    <col min="9712" max="9712" width="3.75" style="69" customWidth="1"/>
    <col min="9713" max="9714" width="8.75" style="69" customWidth="1"/>
    <col min="9715" max="9715" width="3.75" style="69" customWidth="1"/>
    <col min="9716" max="9716" width="15.5" style="69" customWidth="1"/>
    <col min="9717" max="9717" width="38.625" style="69" customWidth="1"/>
    <col min="9718" max="9718" width="4.25" style="69" customWidth="1"/>
    <col min="9719" max="9719" width="11.75" style="69" customWidth="1"/>
    <col min="9720" max="9720" width="11.375" style="69" bestFit="1" customWidth="1"/>
    <col min="9721" max="9739" width="7" style="69" customWidth="1"/>
    <col min="9740" max="9962" width="7" style="69"/>
    <col min="9963" max="9963" width="12.375" style="69" customWidth="1"/>
    <col min="9964" max="9965" width="7.625" style="69" customWidth="1"/>
    <col min="9966" max="9966" width="14.375" style="69" customWidth="1"/>
    <col min="9967" max="9967" width="6.5" style="69" customWidth="1"/>
    <col min="9968" max="9968" width="3.75" style="69" customWidth="1"/>
    <col min="9969" max="9970" width="8.75" style="69" customWidth="1"/>
    <col min="9971" max="9971" width="3.75" style="69" customWidth="1"/>
    <col min="9972" max="9972" width="15.5" style="69" customWidth="1"/>
    <col min="9973" max="9973" width="38.625" style="69" customWidth="1"/>
    <col min="9974" max="9974" width="4.25" style="69" customWidth="1"/>
    <col min="9975" max="9975" width="11.75" style="69" customWidth="1"/>
    <col min="9976" max="9976" width="11.375" style="69" bestFit="1" customWidth="1"/>
    <col min="9977" max="9995" width="7" style="69" customWidth="1"/>
    <col min="9996" max="10218" width="7" style="69"/>
    <col min="10219" max="10219" width="12.375" style="69" customWidth="1"/>
    <col min="10220" max="10221" width="7.625" style="69" customWidth="1"/>
    <col min="10222" max="10222" width="14.375" style="69" customWidth="1"/>
    <col min="10223" max="10223" width="6.5" style="69" customWidth="1"/>
    <col min="10224" max="10224" width="3.75" style="69" customWidth="1"/>
    <col min="10225" max="10226" width="8.75" style="69" customWidth="1"/>
    <col min="10227" max="10227" width="3.75" style="69" customWidth="1"/>
    <col min="10228" max="10228" width="15.5" style="69" customWidth="1"/>
    <col min="10229" max="10229" width="38.625" style="69" customWidth="1"/>
    <col min="10230" max="10230" width="4.25" style="69" customWidth="1"/>
    <col min="10231" max="10231" width="11.75" style="69" customWidth="1"/>
    <col min="10232" max="10232" width="11.375" style="69" bestFit="1" customWidth="1"/>
    <col min="10233" max="10251" width="7" style="69" customWidth="1"/>
    <col min="10252" max="10474" width="7" style="69"/>
    <col min="10475" max="10475" width="12.375" style="69" customWidth="1"/>
    <col min="10476" max="10477" width="7.625" style="69" customWidth="1"/>
    <col min="10478" max="10478" width="14.375" style="69" customWidth="1"/>
    <col min="10479" max="10479" width="6.5" style="69" customWidth="1"/>
    <col min="10480" max="10480" width="3.75" style="69" customWidth="1"/>
    <col min="10481" max="10482" width="8.75" style="69" customWidth="1"/>
    <col min="10483" max="10483" width="3.75" style="69" customWidth="1"/>
    <col min="10484" max="10484" width="15.5" style="69" customWidth="1"/>
    <col min="10485" max="10485" width="38.625" style="69" customWidth="1"/>
    <col min="10486" max="10486" width="4.25" style="69" customWidth="1"/>
    <col min="10487" max="10487" width="11.75" style="69" customWidth="1"/>
    <col min="10488" max="10488" width="11.375" style="69" bestFit="1" customWidth="1"/>
    <col min="10489" max="10507" width="7" style="69" customWidth="1"/>
    <col min="10508" max="10730" width="7" style="69"/>
    <col min="10731" max="10731" width="12.375" style="69" customWidth="1"/>
    <col min="10732" max="10733" width="7.625" style="69" customWidth="1"/>
    <col min="10734" max="10734" width="14.375" style="69" customWidth="1"/>
    <col min="10735" max="10735" width="6.5" style="69" customWidth="1"/>
    <col min="10736" max="10736" width="3.75" style="69" customWidth="1"/>
    <col min="10737" max="10738" width="8.75" style="69" customWidth="1"/>
    <col min="10739" max="10739" width="3.75" style="69" customWidth="1"/>
    <col min="10740" max="10740" width="15.5" style="69" customWidth="1"/>
    <col min="10741" max="10741" width="38.625" style="69" customWidth="1"/>
    <col min="10742" max="10742" width="4.25" style="69" customWidth="1"/>
    <col min="10743" max="10743" width="11.75" style="69" customWidth="1"/>
    <col min="10744" max="10744" width="11.375" style="69" bestFit="1" customWidth="1"/>
    <col min="10745" max="10763" width="7" style="69" customWidth="1"/>
    <col min="10764" max="10986" width="7" style="69"/>
    <col min="10987" max="10987" width="12.375" style="69" customWidth="1"/>
    <col min="10988" max="10989" width="7.625" style="69" customWidth="1"/>
    <col min="10990" max="10990" width="14.375" style="69" customWidth="1"/>
    <col min="10991" max="10991" width="6.5" style="69" customWidth="1"/>
    <col min="10992" max="10992" width="3.75" style="69" customWidth="1"/>
    <col min="10993" max="10994" width="8.75" style="69" customWidth="1"/>
    <col min="10995" max="10995" width="3.75" style="69" customWidth="1"/>
    <col min="10996" max="10996" width="15.5" style="69" customWidth="1"/>
    <col min="10997" max="10997" width="38.625" style="69" customWidth="1"/>
    <col min="10998" max="10998" width="4.25" style="69" customWidth="1"/>
    <col min="10999" max="10999" width="11.75" style="69" customWidth="1"/>
    <col min="11000" max="11000" width="11.375" style="69" bestFit="1" customWidth="1"/>
    <col min="11001" max="11019" width="7" style="69" customWidth="1"/>
    <col min="11020" max="11242" width="7" style="69"/>
    <col min="11243" max="11243" width="12.375" style="69" customWidth="1"/>
    <col min="11244" max="11245" width="7.625" style="69" customWidth="1"/>
    <col min="11246" max="11246" width="14.375" style="69" customWidth="1"/>
    <col min="11247" max="11247" width="6.5" style="69" customWidth="1"/>
    <col min="11248" max="11248" width="3.75" style="69" customWidth="1"/>
    <col min="11249" max="11250" width="8.75" style="69" customWidth="1"/>
    <col min="11251" max="11251" width="3.75" style="69" customWidth="1"/>
    <col min="11252" max="11252" width="15.5" style="69" customWidth="1"/>
    <col min="11253" max="11253" width="38.625" style="69" customWidth="1"/>
    <col min="11254" max="11254" width="4.25" style="69" customWidth="1"/>
    <col min="11255" max="11255" width="11.75" style="69" customWidth="1"/>
    <col min="11256" max="11256" width="11.375" style="69" bestFit="1" customWidth="1"/>
    <col min="11257" max="11275" width="7" style="69" customWidth="1"/>
    <col min="11276" max="11498" width="7" style="69"/>
    <col min="11499" max="11499" width="12.375" style="69" customWidth="1"/>
    <col min="11500" max="11501" width="7.625" style="69" customWidth="1"/>
    <col min="11502" max="11502" width="14.375" style="69" customWidth="1"/>
    <col min="11503" max="11503" width="6.5" style="69" customWidth="1"/>
    <col min="11504" max="11504" width="3.75" style="69" customWidth="1"/>
    <col min="11505" max="11506" width="8.75" style="69" customWidth="1"/>
    <col min="11507" max="11507" width="3.75" style="69" customWidth="1"/>
    <col min="11508" max="11508" width="15.5" style="69" customWidth="1"/>
    <col min="11509" max="11509" width="38.625" style="69" customWidth="1"/>
    <col min="11510" max="11510" width="4.25" style="69" customWidth="1"/>
    <col min="11511" max="11511" width="11.75" style="69" customWidth="1"/>
    <col min="11512" max="11512" width="11.375" style="69" bestFit="1" customWidth="1"/>
    <col min="11513" max="11531" width="7" style="69" customWidth="1"/>
    <col min="11532" max="11754" width="7" style="69"/>
    <col min="11755" max="11755" width="12.375" style="69" customWidth="1"/>
    <col min="11756" max="11757" width="7.625" style="69" customWidth="1"/>
    <col min="11758" max="11758" width="14.375" style="69" customWidth="1"/>
    <col min="11759" max="11759" width="6.5" style="69" customWidth="1"/>
    <col min="11760" max="11760" width="3.75" style="69" customWidth="1"/>
    <col min="11761" max="11762" width="8.75" style="69" customWidth="1"/>
    <col min="11763" max="11763" width="3.75" style="69" customWidth="1"/>
    <col min="11764" max="11764" width="15.5" style="69" customWidth="1"/>
    <col min="11765" max="11765" width="38.625" style="69" customWidth="1"/>
    <col min="11766" max="11766" width="4.25" style="69" customWidth="1"/>
    <col min="11767" max="11767" width="11.75" style="69" customWidth="1"/>
    <col min="11768" max="11768" width="11.375" style="69" bestFit="1" customWidth="1"/>
    <col min="11769" max="11787" width="7" style="69" customWidth="1"/>
    <col min="11788" max="12010" width="7" style="69"/>
    <col min="12011" max="12011" width="12.375" style="69" customWidth="1"/>
    <col min="12012" max="12013" width="7.625" style="69" customWidth="1"/>
    <col min="12014" max="12014" width="14.375" style="69" customWidth="1"/>
    <col min="12015" max="12015" width="6.5" style="69" customWidth="1"/>
    <col min="12016" max="12016" width="3.75" style="69" customWidth="1"/>
    <col min="12017" max="12018" width="8.75" style="69" customWidth="1"/>
    <col min="12019" max="12019" width="3.75" style="69" customWidth="1"/>
    <col min="12020" max="12020" width="15.5" style="69" customWidth="1"/>
    <col min="12021" max="12021" width="38.625" style="69" customWidth="1"/>
    <col min="12022" max="12022" width="4.25" style="69" customWidth="1"/>
    <col min="12023" max="12023" width="11.75" style="69" customWidth="1"/>
    <col min="12024" max="12024" width="11.375" style="69" bestFit="1" customWidth="1"/>
    <col min="12025" max="12043" width="7" style="69" customWidth="1"/>
    <col min="12044" max="12266" width="7" style="69"/>
    <col min="12267" max="12267" width="12.375" style="69" customWidth="1"/>
    <col min="12268" max="12269" width="7.625" style="69" customWidth="1"/>
    <col min="12270" max="12270" width="14.375" style="69" customWidth="1"/>
    <col min="12271" max="12271" width="6.5" style="69" customWidth="1"/>
    <col min="12272" max="12272" width="3.75" style="69" customWidth="1"/>
    <col min="12273" max="12274" width="8.75" style="69" customWidth="1"/>
    <col min="12275" max="12275" width="3.75" style="69" customWidth="1"/>
    <col min="12276" max="12276" width="15.5" style="69" customWidth="1"/>
    <col min="12277" max="12277" width="38.625" style="69" customWidth="1"/>
    <col min="12278" max="12278" width="4.25" style="69" customWidth="1"/>
    <col min="12279" max="12279" width="11.75" style="69" customWidth="1"/>
    <col min="12280" max="12280" width="11.375" style="69" bestFit="1" customWidth="1"/>
    <col min="12281" max="12299" width="7" style="69" customWidth="1"/>
    <col min="12300" max="12522" width="7" style="69"/>
    <col min="12523" max="12523" width="12.375" style="69" customWidth="1"/>
    <col min="12524" max="12525" width="7.625" style="69" customWidth="1"/>
    <col min="12526" max="12526" width="14.375" style="69" customWidth="1"/>
    <col min="12527" max="12527" width="6.5" style="69" customWidth="1"/>
    <col min="12528" max="12528" width="3.75" style="69" customWidth="1"/>
    <col min="12529" max="12530" width="8.75" style="69" customWidth="1"/>
    <col min="12531" max="12531" width="3.75" style="69" customWidth="1"/>
    <col min="12532" max="12532" width="15.5" style="69" customWidth="1"/>
    <col min="12533" max="12533" width="38.625" style="69" customWidth="1"/>
    <col min="12534" max="12534" width="4.25" style="69" customWidth="1"/>
    <col min="12535" max="12535" width="11.75" style="69" customWidth="1"/>
    <col min="12536" max="12536" width="11.375" style="69" bestFit="1" customWidth="1"/>
    <col min="12537" max="12555" width="7" style="69" customWidth="1"/>
    <col min="12556" max="12778" width="7" style="69"/>
    <col min="12779" max="12779" width="12.375" style="69" customWidth="1"/>
    <col min="12780" max="12781" width="7.625" style="69" customWidth="1"/>
    <col min="12782" max="12782" width="14.375" style="69" customWidth="1"/>
    <col min="12783" max="12783" width="6.5" style="69" customWidth="1"/>
    <col min="12784" max="12784" width="3.75" style="69" customWidth="1"/>
    <col min="12785" max="12786" width="8.75" style="69" customWidth="1"/>
    <col min="12787" max="12787" width="3.75" style="69" customWidth="1"/>
    <col min="12788" max="12788" width="15.5" style="69" customWidth="1"/>
    <col min="12789" max="12789" width="38.625" style="69" customWidth="1"/>
    <col min="12790" max="12790" width="4.25" style="69" customWidth="1"/>
    <col min="12791" max="12791" width="11.75" style="69" customWidth="1"/>
    <col min="12792" max="12792" width="11.375" style="69" bestFit="1" customWidth="1"/>
    <col min="12793" max="12811" width="7" style="69" customWidth="1"/>
    <col min="12812" max="13034" width="7" style="69"/>
    <col min="13035" max="13035" width="12.375" style="69" customWidth="1"/>
    <col min="13036" max="13037" width="7.625" style="69" customWidth="1"/>
    <col min="13038" max="13038" width="14.375" style="69" customWidth="1"/>
    <col min="13039" max="13039" width="6.5" style="69" customWidth="1"/>
    <col min="13040" max="13040" width="3.75" style="69" customWidth="1"/>
    <col min="13041" max="13042" width="8.75" style="69" customWidth="1"/>
    <col min="13043" max="13043" width="3.75" style="69" customWidth="1"/>
    <col min="13044" max="13044" width="15.5" style="69" customWidth="1"/>
    <col min="13045" max="13045" width="38.625" style="69" customWidth="1"/>
    <col min="13046" max="13046" width="4.25" style="69" customWidth="1"/>
    <col min="13047" max="13047" width="11.75" style="69" customWidth="1"/>
    <col min="13048" max="13048" width="11.375" style="69" bestFit="1" customWidth="1"/>
    <col min="13049" max="13067" width="7" style="69" customWidth="1"/>
    <col min="13068" max="13290" width="7" style="69"/>
    <col min="13291" max="13291" width="12.375" style="69" customWidth="1"/>
    <col min="13292" max="13293" width="7.625" style="69" customWidth="1"/>
    <col min="13294" max="13294" width="14.375" style="69" customWidth="1"/>
    <col min="13295" max="13295" width="6.5" style="69" customWidth="1"/>
    <col min="13296" max="13296" width="3.75" style="69" customWidth="1"/>
    <col min="13297" max="13298" width="8.75" style="69" customWidth="1"/>
    <col min="13299" max="13299" width="3.75" style="69" customWidth="1"/>
    <col min="13300" max="13300" width="15.5" style="69" customWidth="1"/>
    <col min="13301" max="13301" width="38.625" style="69" customWidth="1"/>
    <col min="13302" max="13302" width="4.25" style="69" customWidth="1"/>
    <col min="13303" max="13303" width="11.75" style="69" customWidth="1"/>
    <col min="13304" max="13304" width="11.375" style="69" bestFit="1" customWidth="1"/>
    <col min="13305" max="13323" width="7" style="69" customWidth="1"/>
    <col min="13324" max="13546" width="7" style="69"/>
    <col min="13547" max="13547" width="12.375" style="69" customWidth="1"/>
    <col min="13548" max="13549" width="7.625" style="69" customWidth="1"/>
    <col min="13550" max="13550" width="14.375" style="69" customWidth="1"/>
    <col min="13551" max="13551" width="6.5" style="69" customWidth="1"/>
    <col min="13552" max="13552" width="3.75" style="69" customWidth="1"/>
    <col min="13553" max="13554" width="8.75" style="69" customWidth="1"/>
    <col min="13555" max="13555" width="3.75" style="69" customWidth="1"/>
    <col min="13556" max="13556" width="15.5" style="69" customWidth="1"/>
    <col min="13557" max="13557" width="38.625" style="69" customWidth="1"/>
    <col min="13558" max="13558" width="4.25" style="69" customWidth="1"/>
    <col min="13559" max="13559" width="11.75" style="69" customWidth="1"/>
    <col min="13560" max="13560" width="11.375" style="69" bestFit="1" customWidth="1"/>
    <col min="13561" max="13579" width="7" style="69" customWidth="1"/>
    <col min="13580" max="13802" width="7" style="69"/>
    <col min="13803" max="13803" width="12.375" style="69" customWidth="1"/>
    <col min="13804" max="13805" width="7.625" style="69" customWidth="1"/>
    <col min="13806" max="13806" width="14.375" style="69" customWidth="1"/>
    <col min="13807" max="13807" width="6.5" style="69" customWidth="1"/>
    <col min="13808" max="13808" width="3.75" style="69" customWidth="1"/>
    <col min="13809" max="13810" width="8.75" style="69" customWidth="1"/>
    <col min="13811" max="13811" width="3.75" style="69" customWidth="1"/>
    <col min="13812" max="13812" width="15.5" style="69" customWidth="1"/>
    <col min="13813" max="13813" width="38.625" style="69" customWidth="1"/>
    <col min="13814" max="13814" width="4.25" style="69" customWidth="1"/>
    <col min="13815" max="13815" width="11.75" style="69" customWidth="1"/>
    <col min="13816" max="13816" width="11.375" style="69" bestFit="1" customWidth="1"/>
    <col min="13817" max="13835" width="7" style="69" customWidth="1"/>
    <col min="13836" max="14058" width="7" style="69"/>
    <col min="14059" max="14059" width="12.375" style="69" customWidth="1"/>
    <col min="14060" max="14061" width="7.625" style="69" customWidth="1"/>
    <col min="14062" max="14062" width="14.375" style="69" customWidth="1"/>
    <col min="14063" max="14063" width="6.5" style="69" customWidth="1"/>
    <col min="14064" max="14064" width="3.75" style="69" customWidth="1"/>
    <col min="14065" max="14066" width="8.75" style="69" customWidth="1"/>
    <col min="14067" max="14067" width="3.75" style="69" customWidth="1"/>
    <col min="14068" max="14068" width="15.5" style="69" customWidth="1"/>
    <col min="14069" max="14069" width="38.625" style="69" customWidth="1"/>
    <col min="14070" max="14070" width="4.25" style="69" customWidth="1"/>
    <col min="14071" max="14071" width="11.75" style="69" customWidth="1"/>
    <col min="14072" max="14072" width="11.375" style="69" bestFit="1" customWidth="1"/>
    <col min="14073" max="14091" width="7" style="69" customWidth="1"/>
    <col min="14092" max="14314" width="7" style="69"/>
    <col min="14315" max="14315" width="12.375" style="69" customWidth="1"/>
    <col min="14316" max="14317" width="7.625" style="69" customWidth="1"/>
    <col min="14318" max="14318" width="14.375" style="69" customWidth="1"/>
    <col min="14319" max="14319" width="6.5" style="69" customWidth="1"/>
    <col min="14320" max="14320" width="3.75" style="69" customWidth="1"/>
    <col min="14321" max="14322" width="8.75" style="69" customWidth="1"/>
    <col min="14323" max="14323" width="3.75" style="69" customWidth="1"/>
    <col min="14324" max="14324" width="15.5" style="69" customWidth="1"/>
    <col min="14325" max="14325" width="38.625" style="69" customWidth="1"/>
    <col min="14326" max="14326" width="4.25" style="69" customWidth="1"/>
    <col min="14327" max="14327" width="11.75" style="69" customWidth="1"/>
    <col min="14328" max="14328" width="11.375" style="69" bestFit="1" customWidth="1"/>
    <col min="14329" max="14347" width="7" style="69" customWidth="1"/>
    <col min="14348" max="14570" width="7" style="69"/>
    <col min="14571" max="14571" width="12.375" style="69" customWidth="1"/>
    <col min="14572" max="14573" width="7.625" style="69" customWidth="1"/>
    <col min="14574" max="14574" width="14.375" style="69" customWidth="1"/>
    <col min="14575" max="14575" width="6.5" style="69" customWidth="1"/>
    <col min="14576" max="14576" width="3.75" style="69" customWidth="1"/>
    <col min="14577" max="14578" width="8.75" style="69" customWidth="1"/>
    <col min="14579" max="14579" width="3.75" style="69" customWidth="1"/>
    <col min="14580" max="14580" width="15.5" style="69" customWidth="1"/>
    <col min="14581" max="14581" width="38.625" style="69" customWidth="1"/>
    <col min="14582" max="14582" width="4.25" style="69" customWidth="1"/>
    <col min="14583" max="14583" width="11.75" style="69" customWidth="1"/>
    <col min="14584" max="14584" width="11.375" style="69" bestFit="1" customWidth="1"/>
    <col min="14585" max="14603" width="7" style="69" customWidth="1"/>
    <col min="14604" max="14826" width="7" style="69"/>
    <col min="14827" max="14827" width="12.375" style="69" customWidth="1"/>
    <col min="14828" max="14829" width="7.625" style="69" customWidth="1"/>
    <col min="14830" max="14830" width="14.375" style="69" customWidth="1"/>
    <col min="14831" max="14831" width="6.5" style="69" customWidth="1"/>
    <col min="14832" max="14832" width="3.75" style="69" customWidth="1"/>
    <col min="14833" max="14834" width="8.75" style="69" customWidth="1"/>
    <col min="14835" max="14835" width="3.75" style="69" customWidth="1"/>
    <col min="14836" max="14836" width="15.5" style="69" customWidth="1"/>
    <col min="14837" max="14837" width="38.625" style="69" customWidth="1"/>
    <col min="14838" max="14838" width="4.25" style="69" customWidth="1"/>
    <col min="14839" max="14839" width="11.75" style="69" customWidth="1"/>
    <col min="14840" max="14840" width="11.375" style="69" bestFit="1" customWidth="1"/>
    <col min="14841" max="14859" width="7" style="69" customWidth="1"/>
    <col min="14860" max="15082" width="7" style="69"/>
    <col min="15083" max="15083" width="12.375" style="69" customWidth="1"/>
    <col min="15084" max="15085" width="7.625" style="69" customWidth="1"/>
    <col min="15086" max="15086" width="14.375" style="69" customWidth="1"/>
    <col min="15087" max="15087" width="6.5" style="69" customWidth="1"/>
    <col min="15088" max="15088" width="3.75" style="69" customWidth="1"/>
    <col min="15089" max="15090" width="8.75" style="69" customWidth="1"/>
    <col min="15091" max="15091" width="3.75" style="69" customWidth="1"/>
    <col min="15092" max="15092" width="15.5" style="69" customWidth="1"/>
    <col min="15093" max="15093" width="38.625" style="69" customWidth="1"/>
    <col min="15094" max="15094" width="4.25" style="69" customWidth="1"/>
    <col min="15095" max="15095" width="11.75" style="69" customWidth="1"/>
    <col min="15096" max="15096" width="11.375" style="69" bestFit="1" customWidth="1"/>
    <col min="15097" max="15115" width="7" style="69" customWidth="1"/>
    <col min="15116" max="15338" width="7" style="69"/>
    <col min="15339" max="15339" width="12.375" style="69" customWidth="1"/>
    <col min="15340" max="15341" width="7.625" style="69" customWidth="1"/>
    <col min="15342" max="15342" width="14.375" style="69" customWidth="1"/>
    <col min="15343" max="15343" width="6.5" style="69" customWidth="1"/>
    <col min="15344" max="15344" width="3.75" style="69" customWidth="1"/>
    <col min="15345" max="15346" width="8.75" style="69" customWidth="1"/>
    <col min="15347" max="15347" width="3.75" style="69" customWidth="1"/>
    <col min="15348" max="15348" width="15.5" style="69" customWidth="1"/>
    <col min="15349" max="15349" width="38.625" style="69" customWidth="1"/>
    <col min="15350" max="15350" width="4.25" style="69" customWidth="1"/>
    <col min="15351" max="15351" width="11.75" style="69" customWidth="1"/>
    <col min="15352" max="15352" width="11.375" style="69" bestFit="1" customWidth="1"/>
    <col min="15353" max="15371" width="7" style="69" customWidth="1"/>
    <col min="15372" max="15594" width="7" style="69"/>
    <col min="15595" max="15595" width="12.375" style="69" customWidth="1"/>
    <col min="15596" max="15597" width="7.625" style="69" customWidth="1"/>
    <col min="15598" max="15598" width="14.375" style="69" customWidth="1"/>
    <col min="15599" max="15599" width="6.5" style="69" customWidth="1"/>
    <col min="15600" max="15600" width="3.75" style="69" customWidth="1"/>
    <col min="15601" max="15602" width="8.75" style="69" customWidth="1"/>
    <col min="15603" max="15603" width="3.75" style="69" customWidth="1"/>
    <col min="15604" max="15604" width="15.5" style="69" customWidth="1"/>
    <col min="15605" max="15605" width="38.625" style="69" customWidth="1"/>
    <col min="15606" max="15606" width="4.25" style="69" customWidth="1"/>
    <col min="15607" max="15607" width="11.75" style="69" customWidth="1"/>
    <col min="15608" max="15608" width="11.375" style="69" bestFit="1" customWidth="1"/>
    <col min="15609" max="15627" width="7" style="69" customWidth="1"/>
    <col min="15628" max="15850" width="7" style="69"/>
    <col min="15851" max="15851" width="12.375" style="69" customWidth="1"/>
    <col min="15852" max="15853" width="7.625" style="69" customWidth="1"/>
    <col min="15854" max="15854" width="14.375" style="69" customWidth="1"/>
    <col min="15855" max="15855" width="6.5" style="69" customWidth="1"/>
    <col min="15856" max="15856" width="3.75" style="69" customWidth="1"/>
    <col min="15857" max="15858" width="8.75" style="69" customWidth="1"/>
    <col min="15859" max="15859" width="3.75" style="69" customWidth="1"/>
    <col min="15860" max="15860" width="15.5" style="69" customWidth="1"/>
    <col min="15861" max="15861" width="38.625" style="69" customWidth="1"/>
    <col min="15862" max="15862" width="4.25" style="69" customWidth="1"/>
    <col min="15863" max="15863" width="11.75" style="69" customWidth="1"/>
    <col min="15864" max="15864" width="11.375" style="69" bestFit="1" customWidth="1"/>
    <col min="15865" max="15883" width="7" style="69" customWidth="1"/>
    <col min="15884" max="16106" width="7" style="69"/>
    <col min="16107" max="16107" width="12.375" style="69" customWidth="1"/>
    <col min="16108" max="16109" width="7.625" style="69" customWidth="1"/>
    <col min="16110" max="16110" width="14.375" style="69" customWidth="1"/>
    <col min="16111" max="16111" width="6.5" style="69" customWidth="1"/>
    <col min="16112" max="16112" width="3.75" style="69" customWidth="1"/>
    <col min="16113" max="16114" width="8.75" style="69" customWidth="1"/>
    <col min="16115" max="16115" width="3.75" style="69" customWidth="1"/>
    <col min="16116" max="16116" width="15.5" style="69" customWidth="1"/>
    <col min="16117" max="16117" width="38.625" style="69" customWidth="1"/>
    <col min="16118" max="16118" width="4.25" style="69" customWidth="1"/>
    <col min="16119" max="16119" width="11.75" style="69" customWidth="1"/>
    <col min="16120" max="16120" width="11.375" style="69" bestFit="1" customWidth="1"/>
    <col min="16121" max="16139" width="7" style="69" customWidth="1"/>
    <col min="16140" max="16384" width="7" style="69"/>
  </cols>
  <sheetData>
    <row r="1" spans="1:14" ht="45" customHeight="1" x14ac:dyDescent="0.3">
      <c r="B1" s="460" t="s">
        <v>448</v>
      </c>
      <c r="C1" s="461"/>
      <c r="D1" s="461"/>
      <c r="E1" s="461"/>
      <c r="F1" s="461"/>
      <c r="G1" s="461"/>
      <c r="H1" s="461"/>
      <c r="I1" s="461"/>
      <c r="J1" s="461"/>
      <c r="K1" s="462"/>
    </row>
    <row r="2" spans="1:14" ht="20.100000000000001" customHeight="1" x14ac:dyDescent="0.3">
      <c r="B2" s="129" t="e">
        <f>원가!C2</f>
        <v>#REF!</v>
      </c>
      <c r="C2" s="73"/>
      <c r="D2" s="73"/>
      <c r="E2" s="74"/>
      <c r="F2" s="74"/>
      <c r="G2" s="74"/>
      <c r="H2" s="74"/>
      <c r="I2" s="74"/>
      <c r="J2" s="74"/>
      <c r="K2" s="130"/>
    </row>
    <row r="3" spans="1:14" ht="20.100000000000001" customHeight="1" x14ac:dyDescent="0.3">
      <c r="B3" s="535" t="s">
        <v>449</v>
      </c>
      <c r="C3" s="440" t="s">
        <v>450</v>
      </c>
      <c r="D3" s="435"/>
      <c r="E3" s="537" t="s">
        <v>451</v>
      </c>
      <c r="F3" s="439" t="s">
        <v>452</v>
      </c>
      <c r="G3" s="439"/>
      <c r="H3" s="439"/>
      <c r="I3" s="439"/>
      <c r="J3" s="440" t="s">
        <v>453</v>
      </c>
      <c r="K3" s="434"/>
      <c r="L3" s="83"/>
    </row>
    <row r="4" spans="1:14" ht="20.100000000000001" customHeight="1" x14ac:dyDescent="0.3">
      <c r="B4" s="536"/>
      <c r="C4" s="442"/>
      <c r="D4" s="438"/>
      <c r="E4" s="538"/>
      <c r="F4" s="131" t="str">
        <f>IF(A5=1,"신규","기존")</f>
        <v>기존</v>
      </c>
      <c r="G4" s="70" t="str">
        <f>IF(A5=1,"","증설")</f>
        <v>증설</v>
      </c>
      <c r="H4" s="444" t="s">
        <v>454</v>
      </c>
      <c r="I4" s="444"/>
      <c r="J4" s="442"/>
      <c r="K4" s="437"/>
      <c r="L4" s="83"/>
    </row>
    <row r="5" spans="1:14" ht="30" customHeight="1" x14ac:dyDescent="0.3">
      <c r="A5" s="69">
        <f>IF(B5="신 규",1,2)</f>
        <v>2</v>
      </c>
      <c r="B5" s="132" t="s">
        <v>455</v>
      </c>
      <c r="C5" s="133" t="s">
        <v>456</v>
      </c>
      <c r="D5" s="134" t="s">
        <v>457</v>
      </c>
      <c r="E5" s="135" t="s">
        <v>458</v>
      </c>
      <c r="F5" s="136">
        <v>1000</v>
      </c>
      <c r="G5" s="136">
        <v>50</v>
      </c>
      <c r="H5" s="529">
        <f>F5+G5</f>
        <v>1050</v>
      </c>
      <c r="I5" s="529"/>
      <c r="J5" s="137"/>
      <c r="K5" s="138"/>
      <c r="L5" s="83"/>
      <c r="M5" s="507" t="str">
        <f>IF(B5="증 설",(F4&amp;":"&amp;F5&amp;"KW / "&amp;G4&amp;":"&amp;G5&amp;"KW"),F4&amp;":"&amp;F5&amp;"KW")</f>
        <v>기존:1000KW / 증설:50KW</v>
      </c>
      <c r="N5" s="384"/>
    </row>
    <row r="6" spans="1:14" ht="20.100000000000001" customHeight="1" x14ac:dyDescent="0.3">
      <c r="B6" s="139"/>
      <c r="C6" s="102"/>
      <c r="D6" s="102"/>
      <c r="E6" s="103"/>
      <c r="F6" s="103"/>
      <c r="G6" s="140"/>
      <c r="H6" s="73"/>
      <c r="I6" s="74"/>
      <c r="J6" s="102"/>
      <c r="K6" s="141" t="s">
        <v>459</v>
      </c>
      <c r="L6" s="69"/>
    </row>
    <row r="7" spans="1:14" ht="20.100000000000001" customHeight="1" x14ac:dyDescent="0.3">
      <c r="B7" s="532" t="s">
        <v>351</v>
      </c>
      <c r="C7" s="466"/>
      <c r="D7" s="466"/>
      <c r="E7" s="494"/>
      <c r="F7" s="465" t="str">
        <f>IF(A5=1,"계약용량(신규)","계약용량(증설)")</f>
        <v>계약용량(증설)</v>
      </c>
      <c r="G7" s="494"/>
      <c r="H7" s="142" t="s">
        <v>460</v>
      </c>
      <c r="I7" s="142" t="s">
        <v>461</v>
      </c>
      <c r="J7" s="533" t="s">
        <v>378</v>
      </c>
      <c r="K7" s="534"/>
      <c r="L7" s="92"/>
    </row>
    <row r="8" spans="1:14" ht="20.100000000000001" customHeight="1" x14ac:dyDescent="0.3">
      <c r="A8" s="69">
        <f>IF(C5=B8,1,0)</f>
        <v>1</v>
      </c>
      <c r="B8" s="543" t="s">
        <v>456</v>
      </c>
      <c r="C8" s="545" t="s">
        <v>462</v>
      </c>
      <c r="D8" s="546"/>
      <c r="E8" s="547"/>
      <c r="F8" s="548" t="str">
        <f>IF(A8=0,"",IF(A5=1,1,""))</f>
        <v/>
      </c>
      <c r="G8" s="549"/>
      <c r="H8" s="143" t="str">
        <f>IF(F8="","",HLOOKUP($E$5,$H$16:$I$19,2,FALSE))</f>
        <v/>
      </c>
      <c r="I8" s="144" t="str">
        <f>IF(F8="","",H8*1)</f>
        <v/>
      </c>
      <c r="J8" s="525" t="s">
        <v>463</v>
      </c>
      <c r="K8" s="526"/>
      <c r="L8" s="92"/>
    </row>
    <row r="9" spans="1:14" ht="20.100000000000001" customHeight="1" x14ac:dyDescent="0.3">
      <c r="A9" s="69">
        <f>IF(C5=B8,1,0)</f>
        <v>1</v>
      </c>
      <c r="B9" s="544"/>
      <c r="C9" s="545" t="s">
        <v>464</v>
      </c>
      <c r="D9" s="546"/>
      <c r="E9" s="547"/>
      <c r="F9" s="553">
        <f>IF(A8=0,"",IF(A5=1,F5-5,IF(A5=2,G5,0)))</f>
        <v>50</v>
      </c>
      <c r="G9" s="554"/>
      <c r="H9" s="143">
        <f>IF(F9="","",HLOOKUP($E$5,$H$16:$I$19,3,FALSE))</f>
        <v>121000</v>
      </c>
      <c r="I9" s="144">
        <f>IF(F9="","",H9*F9)</f>
        <v>6050000</v>
      </c>
      <c r="J9" s="550"/>
      <c r="K9" s="551"/>
      <c r="L9" s="92"/>
    </row>
    <row r="10" spans="1:14" ht="20.100000000000001" customHeight="1" x14ac:dyDescent="0.3">
      <c r="A10" s="69">
        <f>IF(C5=B10,1,0)</f>
        <v>0</v>
      </c>
      <c r="B10" s="145" t="s">
        <v>465</v>
      </c>
      <c r="C10" s="456" t="s">
        <v>466</v>
      </c>
      <c r="D10" s="555"/>
      <c r="E10" s="556"/>
      <c r="F10" s="553" t="str">
        <f>IF(A10=0,"",IF(A5=1,F5,IF(A5=2,G5,0)))</f>
        <v/>
      </c>
      <c r="G10" s="554"/>
      <c r="H10" s="143" t="str">
        <f>IF(F10="","",HLOOKUP($E$5,$H$16:$I$19,4,FALSE))</f>
        <v/>
      </c>
      <c r="I10" s="144" t="str">
        <f>IF(F10="","",H10*F10)</f>
        <v/>
      </c>
      <c r="J10" s="527"/>
      <c r="K10" s="528"/>
      <c r="L10" s="69"/>
    </row>
    <row r="11" spans="1:14" ht="20.100000000000001" customHeight="1" x14ac:dyDescent="0.3">
      <c r="B11" s="458" t="s">
        <v>467</v>
      </c>
      <c r="C11" s="459"/>
      <c r="D11" s="459"/>
      <c r="E11" s="459"/>
      <c r="F11" s="459"/>
      <c r="G11" s="508"/>
      <c r="H11" s="509">
        <f>SUM(I8:I10)</f>
        <v>6050000</v>
      </c>
      <c r="I11" s="510"/>
      <c r="J11" s="447"/>
      <c r="K11" s="448"/>
      <c r="L11" s="92"/>
    </row>
    <row r="12" spans="1:14" ht="20.100000000000001" customHeight="1" x14ac:dyDescent="0.3">
      <c r="B12" s="458" t="s">
        <v>468</v>
      </c>
      <c r="C12" s="459"/>
      <c r="D12" s="459"/>
      <c r="E12" s="459"/>
      <c r="F12" s="459"/>
      <c r="G12" s="508"/>
      <c r="H12" s="509">
        <f>H11*J12</f>
        <v>605000</v>
      </c>
      <c r="I12" s="510"/>
      <c r="J12" s="495">
        <v>0.1</v>
      </c>
      <c r="K12" s="448"/>
      <c r="L12" s="92"/>
    </row>
    <row r="13" spans="1:14" ht="20.100000000000001" customHeight="1" x14ac:dyDescent="0.3">
      <c r="B13" s="511" t="s">
        <v>469</v>
      </c>
      <c r="C13" s="512"/>
      <c r="D13" s="512"/>
      <c r="E13" s="512"/>
      <c r="F13" s="512"/>
      <c r="G13" s="513"/>
      <c r="H13" s="514">
        <f>ROUNDUP(SUM(H11:I12),-3)</f>
        <v>6655000</v>
      </c>
      <c r="I13" s="515"/>
      <c r="J13" s="419" t="str">
        <f>IF(H13=" "," ","부가가치세 포함")</f>
        <v>부가가치세 포함</v>
      </c>
      <c r="K13" s="420"/>
      <c r="L13" s="83"/>
    </row>
    <row r="14" spans="1:14" ht="20.100000000000001" customHeight="1" x14ac:dyDescent="0.3">
      <c r="B14" s="146"/>
      <c r="C14" s="74"/>
      <c r="D14" s="74"/>
      <c r="E14" s="74"/>
      <c r="F14" s="74"/>
      <c r="G14" s="74"/>
      <c r="H14" s="74"/>
      <c r="I14" s="74"/>
      <c r="J14" s="74"/>
      <c r="K14" s="141" t="s">
        <v>459</v>
      </c>
      <c r="L14" s="83"/>
    </row>
    <row r="15" spans="1:14" ht="20.100000000000001" customHeight="1" x14ac:dyDescent="0.3">
      <c r="B15" s="539" t="s">
        <v>470</v>
      </c>
      <c r="C15" s="439"/>
      <c r="D15" s="439"/>
      <c r="E15" s="439"/>
      <c r="F15" s="439"/>
      <c r="G15" s="439"/>
      <c r="H15" s="439" t="s">
        <v>471</v>
      </c>
      <c r="I15" s="439"/>
      <c r="J15" s="440" t="s">
        <v>472</v>
      </c>
      <c r="K15" s="441"/>
      <c r="L15" s="83"/>
    </row>
    <row r="16" spans="1:14" ht="20.100000000000001" customHeight="1" x14ac:dyDescent="0.3">
      <c r="B16" s="449"/>
      <c r="C16" s="450"/>
      <c r="D16" s="450"/>
      <c r="E16" s="450"/>
      <c r="F16" s="450"/>
      <c r="G16" s="450"/>
      <c r="H16" s="135" t="s">
        <v>473</v>
      </c>
      <c r="I16" s="135" t="s">
        <v>474</v>
      </c>
      <c r="J16" s="365"/>
      <c r="K16" s="540"/>
      <c r="L16" s="83"/>
    </row>
    <row r="17" spans="1:13" ht="20.100000000000001" customHeight="1" x14ac:dyDescent="0.3">
      <c r="A17" s="69">
        <v>1</v>
      </c>
      <c r="B17" s="535" t="s">
        <v>475</v>
      </c>
      <c r="C17" s="147" t="s">
        <v>476</v>
      </c>
      <c r="D17" s="148"/>
      <c r="E17" s="149"/>
      <c r="F17" s="149"/>
      <c r="G17" s="150"/>
      <c r="H17" s="151">
        <v>306000</v>
      </c>
      <c r="I17" s="151">
        <v>588000</v>
      </c>
      <c r="J17" s="541" t="s">
        <v>477</v>
      </c>
      <c r="K17" s="542"/>
      <c r="L17" s="83"/>
    </row>
    <row r="18" spans="1:13" ht="20.100000000000001" customHeight="1" x14ac:dyDescent="0.3">
      <c r="B18" s="536"/>
      <c r="C18" s="152" t="s">
        <v>478</v>
      </c>
      <c r="D18" s="153"/>
      <c r="E18" s="154"/>
      <c r="F18" s="154"/>
      <c r="G18" s="155"/>
      <c r="H18" s="156">
        <v>121000</v>
      </c>
      <c r="I18" s="156">
        <v>141000</v>
      </c>
      <c r="J18" s="157"/>
      <c r="K18" s="158"/>
      <c r="L18" s="69"/>
    </row>
    <row r="19" spans="1:13" ht="20.100000000000001" customHeight="1" x14ac:dyDescent="0.3">
      <c r="A19" s="69">
        <v>2</v>
      </c>
      <c r="B19" s="132" t="s">
        <v>465</v>
      </c>
      <c r="C19" s="159" t="s">
        <v>466</v>
      </c>
      <c r="D19" s="160"/>
      <c r="E19" s="161"/>
      <c r="F19" s="161"/>
      <c r="G19" s="162"/>
      <c r="H19" s="163">
        <v>24000</v>
      </c>
      <c r="I19" s="163">
        <v>50000</v>
      </c>
      <c r="J19" s="164"/>
      <c r="K19" s="165"/>
      <c r="L19" s="69"/>
    </row>
    <row r="20" spans="1:13" ht="19.5" customHeight="1" x14ac:dyDescent="0.3">
      <c r="B20" s="139"/>
      <c r="C20" s="102"/>
      <c r="D20" s="102"/>
      <c r="E20" s="103"/>
      <c r="F20" s="103"/>
      <c r="G20" s="140"/>
      <c r="H20" s="73"/>
      <c r="I20" s="74"/>
      <c r="J20" s="102"/>
      <c r="K20" s="158"/>
      <c r="L20" s="69"/>
    </row>
    <row r="21" spans="1:13" ht="20.100000000000001" customHeight="1" x14ac:dyDescent="0.3">
      <c r="B21" s="139"/>
      <c r="C21" s="102"/>
      <c r="D21" s="102"/>
      <c r="E21" s="103"/>
      <c r="F21" s="103"/>
      <c r="G21" s="140"/>
      <c r="H21" s="73"/>
      <c r="I21" s="74"/>
      <c r="J21" s="102"/>
      <c r="K21" s="158"/>
      <c r="L21" s="69"/>
    </row>
    <row r="22" spans="1:13" ht="20.100000000000001" customHeight="1" x14ac:dyDescent="0.3">
      <c r="B22" s="139"/>
      <c r="C22" s="104"/>
      <c r="D22" s="104"/>
      <c r="E22" s="74"/>
      <c r="F22" s="74"/>
      <c r="G22" s="74"/>
      <c r="H22" s="74"/>
      <c r="I22" s="74"/>
      <c r="J22" s="107"/>
      <c r="K22" s="166"/>
      <c r="L22" s="83"/>
    </row>
    <row r="23" spans="1:13" ht="44.25" customHeight="1" thickBot="1" x14ac:dyDescent="0.35">
      <c r="B23" s="167"/>
      <c r="C23" s="168"/>
      <c r="D23" s="168"/>
      <c r="E23" s="169"/>
      <c r="F23" s="169"/>
      <c r="G23" s="170"/>
      <c r="H23" s="171"/>
      <c r="I23" s="170"/>
      <c r="J23" s="168"/>
      <c r="K23" s="172"/>
      <c r="L23" s="552"/>
      <c r="M23" s="390"/>
    </row>
    <row r="24" spans="1:13" ht="45" customHeight="1" x14ac:dyDescent="0.3">
      <c r="B24" s="496" t="s">
        <v>479</v>
      </c>
      <c r="C24" s="461"/>
      <c r="D24" s="461"/>
      <c r="E24" s="461"/>
      <c r="F24" s="461"/>
      <c r="G24" s="461"/>
      <c r="H24" s="461"/>
      <c r="I24" s="461"/>
      <c r="J24" s="461"/>
      <c r="K24" s="462"/>
    </row>
    <row r="25" spans="1:13" ht="20.100000000000001" customHeight="1" x14ac:dyDescent="0.3">
      <c r="B25" s="129" t="e">
        <f>$B$2</f>
        <v>#REF!</v>
      </c>
      <c r="C25" s="73"/>
      <c r="D25" s="73"/>
      <c r="E25" s="74"/>
      <c r="F25" s="74"/>
      <c r="G25" s="74"/>
      <c r="H25" s="74"/>
      <c r="I25" s="74"/>
      <c r="J25" s="74"/>
      <c r="K25" s="130"/>
    </row>
    <row r="26" spans="1:13" ht="20.100000000000001" customHeight="1" x14ac:dyDescent="0.3">
      <c r="B26" s="535" t="s">
        <v>449</v>
      </c>
      <c r="C26" s="440" t="s">
        <v>450</v>
      </c>
      <c r="D26" s="435"/>
      <c r="E26" s="537" t="s">
        <v>451</v>
      </c>
      <c r="F26" s="439" t="s">
        <v>452</v>
      </c>
      <c r="G26" s="439"/>
      <c r="H26" s="439"/>
      <c r="I26" s="439"/>
      <c r="J26" s="440" t="s">
        <v>453</v>
      </c>
      <c r="K26" s="441"/>
      <c r="L26" s="83"/>
    </row>
    <row r="27" spans="1:13" ht="20.100000000000001" customHeight="1" x14ac:dyDescent="0.3">
      <c r="B27" s="536"/>
      <c r="C27" s="442"/>
      <c r="D27" s="438"/>
      <c r="E27" s="538"/>
      <c r="F27" s="131" t="str">
        <f>F4</f>
        <v>기존</v>
      </c>
      <c r="G27" s="70" t="str">
        <f>G4</f>
        <v>증설</v>
      </c>
      <c r="H27" s="444" t="s">
        <v>454</v>
      </c>
      <c r="I27" s="444"/>
      <c r="J27" s="442"/>
      <c r="K27" s="443"/>
      <c r="L27" s="83"/>
    </row>
    <row r="28" spans="1:13" ht="30" customHeight="1" x14ac:dyDescent="0.3">
      <c r="B28" s="132" t="str">
        <f>$B$5</f>
        <v>증 설</v>
      </c>
      <c r="C28" s="133" t="str">
        <f>$C$5</f>
        <v>저 압</v>
      </c>
      <c r="D28" s="134" t="str">
        <f>$D$5</f>
        <v>3Φ 4선식</v>
      </c>
      <c r="E28" s="135" t="str">
        <f>$E$5</f>
        <v>가공공급</v>
      </c>
      <c r="F28" s="136">
        <f>IF($H$5&lt;75,0,$F$5)</f>
        <v>1000</v>
      </c>
      <c r="G28" s="136">
        <v>200</v>
      </c>
      <c r="H28" s="529">
        <f>$F$28+$G$28</f>
        <v>1200</v>
      </c>
      <c r="I28" s="529"/>
      <c r="J28" s="492" t="s">
        <v>480</v>
      </c>
      <c r="K28" s="493"/>
      <c r="L28" s="83"/>
    </row>
    <row r="29" spans="1:13" ht="20.100000000000001" customHeight="1" x14ac:dyDescent="0.3">
      <c r="B29" s="173"/>
      <c r="C29" s="174"/>
      <c r="D29" s="175"/>
      <c r="E29" s="149"/>
      <c r="F29" s="149"/>
      <c r="G29" s="149"/>
      <c r="H29" s="466"/>
      <c r="I29" s="466"/>
      <c r="J29" s="530" t="s">
        <v>481</v>
      </c>
      <c r="K29" s="531"/>
    </row>
    <row r="30" spans="1:13" ht="20.100000000000001" customHeight="1" x14ac:dyDescent="0.3">
      <c r="B30" s="532" t="s">
        <v>351</v>
      </c>
      <c r="C30" s="466"/>
      <c r="D30" s="466"/>
      <c r="E30" s="465" t="s">
        <v>482</v>
      </c>
      <c r="F30" s="494"/>
      <c r="G30" s="176" t="s">
        <v>483</v>
      </c>
      <c r="H30" s="142" t="s">
        <v>460</v>
      </c>
      <c r="I30" s="142" t="s">
        <v>461</v>
      </c>
      <c r="J30" s="533" t="s">
        <v>378</v>
      </c>
      <c r="K30" s="534"/>
    </row>
    <row r="31" spans="1:13" ht="20.100000000000001" customHeight="1" x14ac:dyDescent="0.3">
      <c r="A31" s="516">
        <f>MAX(N38:N43)</f>
        <v>1</v>
      </c>
      <c r="B31" s="517" t="str">
        <f>VLOOKUP(A31,A38:I43,2,FALSE)</f>
        <v>저 압</v>
      </c>
      <c r="C31" s="518"/>
      <c r="D31" s="518"/>
      <c r="E31" s="521">
        <f>IF(B28="신 규",F28,G28)</f>
        <v>200</v>
      </c>
      <c r="F31" s="522"/>
      <c r="G31" s="177" t="s">
        <v>484</v>
      </c>
      <c r="H31" s="178">
        <f>VLOOKUP(A31,A38:I43,3,FALSE)</f>
        <v>94000</v>
      </c>
      <c r="I31" s="179">
        <f>H31</f>
        <v>94000</v>
      </c>
      <c r="J31" s="525" t="s">
        <v>463</v>
      </c>
      <c r="K31" s="526"/>
      <c r="M31" s="180"/>
    </row>
    <row r="32" spans="1:13" ht="20.100000000000001" customHeight="1" x14ac:dyDescent="0.3">
      <c r="A32" s="516"/>
      <c r="B32" s="519"/>
      <c r="C32" s="520"/>
      <c r="D32" s="520"/>
      <c r="E32" s="523"/>
      <c r="F32" s="524"/>
      <c r="G32" s="181" t="s">
        <v>485</v>
      </c>
      <c r="H32" s="143">
        <f>VLOOKUP(A31,A38:I43,9,FALSE)</f>
        <v>391</v>
      </c>
      <c r="I32" s="144">
        <f>E31*H32</f>
        <v>78200</v>
      </c>
      <c r="J32" s="527"/>
      <c r="K32" s="528"/>
    </row>
    <row r="33" spans="1:18" ht="20.100000000000001" customHeight="1" x14ac:dyDescent="0.3">
      <c r="B33" s="458" t="s">
        <v>467</v>
      </c>
      <c r="C33" s="459"/>
      <c r="D33" s="459"/>
      <c r="E33" s="459"/>
      <c r="F33" s="459"/>
      <c r="G33" s="508"/>
      <c r="H33" s="509">
        <f>SUM(I31:I32)</f>
        <v>172200</v>
      </c>
      <c r="I33" s="510"/>
      <c r="J33" s="447"/>
      <c r="K33" s="448"/>
      <c r="L33" s="92"/>
    </row>
    <row r="34" spans="1:18" ht="20.100000000000001" customHeight="1" x14ac:dyDescent="0.3">
      <c r="B34" s="458" t="s">
        <v>468</v>
      </c>
      <c r="C34" s="459"/>
      <c r="D34" s="459"/>
      <c r="E34" s="459"/>
      <c r="F34" s="459"/>
      <c r="G34" s="508"/>
      <c r="H34" s="509">
        <f>H33*J34</f>
        <v>17220</v>
      </c>
      <c r="I34" s="510"/>
      <c r="J34" s="495">
        <v>0.1</v>
      </c>
      <c r="K34" s="448"/>
    </row>
    <row r="35" spans="1:18" ht="20.100000000000001" customHeight="1" x14ac:dyDescent="0.3">
      <c r="B35" s="511" t="s">
        <v>469</v>
      </c>
      <c r="C35" s="512"/>
      <c r="D35" s="512"/>
      <c r="E35" s="512"/>
      <c r="F35" s="512"/>
      <c r="G35" s="513"/>
      <c r="H35" s="514">
        <f>ROUNDUP(SUM(H33:I34),-3)</f>
        <v>190000</v>
      </c>
      <c r="I35" s="515"/>
      <c r="J35" s="486" t="s">
        <v>486</v>
      </c>
      <c r="K35" s="487"/>
    </row>
    <row r="36" spans="1:18" ht="20.100000000000001" customHeight="1" x14ac:dyDescent="0.3">
      <c r="B36" s="182"/>
      <c r="C36" s="183"/>
      <c r="D36" s="183"/>
      <c r="E36" s="183"/>
      <c r="F36" s="183"/>
      <c r="G36" s="183"/>
      <c r="H36" s="183"/>
      <c r="I36" s="183"/>
      <c r="J36" s="183"/>
      <c r="K36" s="184" t="s">
        <v>459</v>
      </c>
    </row>
    <row r="37" spans="1:18" ht="20.100000000000001" customHeight="1" x14ac:dyDescent="0.3">
      <c r="B37" s="185" t="s">
        <v>487</v>
      </c>
      <c r="C37" s="439" t="s">
        <v>488</v>
      </c>
      <c r="D37" s="439"/>
      <c r="E37" s="465" t="s">
        <v>489</v>
      </c>
      <c r="F37" s="466"/>
      <c r="G37" s="466"/>
      <c r="H37" s="466"/>
      <c r="I37" s="466"/>
      <c r="J37" s="439" t="s">
        <v>472</v>
      </c>
      <c r="K37" s="467"/>
      <c r="M37" s="507" t="s">
        <v>490</v>
      </c>
      <c r="N37" s="384"/>
      <c r="O37" s="507" t="s">
        <v>351</v>
      </c>
      <c r="P37" s="382"/>
      <c r="Q37" s="382"/>
      <c r="R37" s="384"/>
    </row>
    <row r="38" spans="1:18" ht="20.100000000000001" customHeight="1" x14ac:dyDescent="0.3">
      <c r="A38" s="69">
        <v>1</v>
      </c>
      <c r="B38" s="145" t="s">
        <v>475</v>
      </c>
      <c r="C38" s="468">
        <v>94000</v>
      </c>
      <c r="D38" s="468"/>
      <c r="E38" s="504"/>
      <c r="F38" s="504"/>
      <c r="G38" s="504"/>
      <c r="H38" s="504"/>
      <c r="I38" s="70">
        <v>391</v>
      </c>
      <c r="J38" s="424"/>
      <c r="K38" s="425"/>
      <c r="M38" s="76" t="s">
        <v>491</v>
      </c>
      <c r="N38" s="76">
        <f>IF(C28="저 압",1,"-")</f>
        <v>1</v>
      </c>
      <c r="O38" s="186">
        <v>300</v>
      </c>
      <c r="P38" s="187" t="s">
        <v>492</v>
      </c>
      <c r="Q38" s="186"/>
      <c r="R38" s="187"/>
    </row>
    <row r="39" spans="1:18" ht="20.100000000000001" customHeight="1" x14ac:dyDescent="0.3">
      <c r="A39" s="69">
        <v>2</v>
      </c>
      <c r="B39" s="145" t="s">
        <v>493</v>
      </c>
      <c r="C39" s="468">
        <v>298000</v>
      </c>
      <c r="D39" s="468"/>
      <c r="E39" s="504"/>
      <c r="F39" s="504"/>
      <c r="G39" s="504"/>
      <c r="H39" s="504"/>
      <c r="I39" s="70">
        <v>660</v>
      </c>
      <c r="J39" s="424"/>
      <c r="K39" s="425"/>
      <c r="M39" s="506" t="s">
        <v>494</v>
      </c>
      <c r="N39" s="76" t="str">
        <f>IF($C$28="고 압",IF($H$28&lt;=O39,2,"-"),"-")</f>
        <v>-</v>
      </c>
      <c r="O39" s="186">
        <v>300</v>
      </c>
      <c r="P39" s="187" t="s">
        <v>492</v>
      </c>
      <c r="Q39" s="186"/>
      <c r="R39" s="187"/>
    </row>
    <row r="40" spans="1:18" ht="20.100000000000001" customHeight="1" x14ac:dyDescent="0.3">
      <c r="A40" s="69">
        <v>3</v>
      </c>
      <c r="B40" s="145" t="s">
        <v>495</v>
      </c>
      <c r="C40" s="468">
        <v>559000</v>
      </c>
      <c r="D40" s="468"/>
      <c r="E40" s="504" t="s">
        <v>496</v>
      </c>
      <c r="F40" s="504"/>
      <c r="G40" s="504"/>
      <c r="H40" s="504"/>
      <c r="I40" s="70">
        <v>315</v>
      </c>
      <c r="J40" s="429"/>
      <c r="K40" s="430"/>
      <c r="M40" s="506"/>
      <c r="N40" s="76" t="str">
        <f>IF($C$28="고 압",IF(AND($H$28&gt;O40,$H$28&lt;Q40),3,"-"),"-")</f>
        <v>-</v>
      </c>
      <c r="O40" s="186">
        <v>300</v>
      </c>
      <c r="P40" s="187" t="s">
        <v>497</v>
      </c>
      <c r="Q40" s="186">
        <v>1000</v>
      </c>
      <c r="R40" s="187" t="s">
        <v>498</v>
      </c>
    </row>
    <row r="41" spans="1:18" ht="20.100000000000001" customHeight="1" x14ac:dyDescent="0.3">
      <c r="A41" s="69">
        <v>4</v>
      </c>
      <c r="B41" s="188" t="s">
        <v>499</v>
      </c>
      <c r="C41" s="469">
        <v>678000</v>
      </c>
      <c r="D41" s="470"/>
      <c r="E41" s="504" t="s">
        <v>500</v>
      </c>
      <c r="F41" s="504"/>
      <c r="G41" s="504"/>
      <c r="H41" s="504"/>
      <c r="I41" s="70">
        <v>268</v>
      </c>
      <c r="J41" s="429"/>
      <c r="K41" s="430"/>
      <c r="M41" s="506"/>
      <c r="N41" s="76" t="str">
        <f>IF($C$28="고 압",IF(AND($H$28&gt;=O41,$H$28&lt;=Q41),4,"-"),"-")</f>
        <v>-</v>
      </c>
      <c r="O41" s="189">
        <v>1000</v>
      </c>
      <c r="P41" s="187" t="s">
        <v>501</v>
      </c>
      <c r="Q41" s="189">
        <v>1000</v>
      </c>
      <c r="R41" s="187" t="s">
        <v>492</v>
      </c>
    </row>
    <row r="42" spans="1:18" ht="20.100000000000001" customHeight="1" x14ac:dyDescent="0.3">
      <c r="A42" s="69">
        <v>5</v>
      </c>
      <c r="B42" s="190" t="str">
        <f>B41</f>
        <v>고압1,000KW이상</v>
      </c>
      <c r="C42" s="503">
        <f>C41</f>
        <v>678000</v>
      </c>
      <c r="D42" s="482"/>
      <c r="E42" s="504" t="s">
        <v>502</v>
      </c>
      <c r="F42" s="504"/>
      <c r="G42" s="504"/>
      <c r="H42" s="504"/>
      <c r="I42" s="70">
        <v>152</v>
      </c>
      <c r="J42" s="447"/>
      <c r="K42" s="448"/>
      <c r="M42" s="506"/>
      <c r="N42" s="76" t="str">
        <f>IF($C$28="고 압",IF(AND($H$28&gt;=O42,$H$28&lt;=Q42),5,"-"),"-")</f>
        <v>-</v>
      </c>
      <c r="O42" s="189">
        <v>1001</v>
      </c>
      <c r="P42" s="187" t="s">
        <v>501</v>
      </c>
      <c r="Q42" s="189">
        <v>100000</v>
      </c>
      <c r="R42" s="187" t="s">
        <v>492</v>
      </c>
    </row>
    <row r="43" spans="1:18" ht="20.100000000000001" customHeight="1" x14ac:dyDescent="0.3">
      <c r="A43" s="69">
        <v>6</v>
      </c>
      <c r="B43" s="191" t="str">
        <f>B41</f>
        <v>고압1,000KW이상</v>
      </c>
      <c r="C43" s="474">
        <f>C41</f>
        <v>678000</v>
      </c>
      <c r="D43" s="475"/>
      <c r="E43" s="505" t="s">
        <v>503</v>
      </c>
      <c r="F43" s="505"/>
      <c r="G43" s="505"/>
      <c r="H43" s="505"/>
      <c r="I43" s="135">
        <v>32</v>
      </c>
      <c r="J43" s="479"/>
      <c r="K43" s="480"/>
      <c r="M43" s="506"/>
      <c r="N43" s="76" t="str">
        <f>IF($C$28="고 압",IF($H$28&gt;O43,6,"-"),"-")</f>
        <v>-</v>
      </c>
      <c r="O43" s="189">
        <v>100000</v>
      </c>
      <c r="P43" s="187" t="s">
        <v>497</v>
      </c>
      <c r="Q43" s="189"/>
      <c r="R43" s="192"/>
    </row>
    <row r="44" spans="1:18" ht="20.100000000000001" customHeight="1" x14ac:dyDescent="0.3">
      <c r="B44" s="146" t="s">
        <v>504</v>
      </c>
      <c r="C44" s="73"/>
      <c r="D44" s="107"/>
      <c r="E44" s="74"/>
      <c r="F44" s="74"/>
      <c r="G44" s="103"/>
      <c r="H44" s="74"/>
      <c r="I44" s="74"/>
      <c r="J44" s="74"/>
      <c r="K44" s="166"/>
    </row>
    <row r="45" spans="1:18" ht="20.100000000000001" customHeight="1" x14ac:dyDescent="0.3">
      <c r="B45" s="193" t="s">
        <v>505</v>
      </c>
      <c r="C45" s="194"/>
      <c r="D45" s="107"/>
      <c r="E45" s="74"/>
      <c r="F45" s="74"/>
      <c r="G45" s="103"/>
      <c r="H45" s="74"/>
      <c r="I45" s="74"/>
      <c r="J45" s="107"/>
      <c r="K45" s="166"/>
    </row>
    <row r="46" spans="1:18" ht="20.100000000000001" customHeight="1" x14ac:dyDescent="0.3">
      <c r="B46" s="146"/>
      <c r="C46" s="107"/>
      <c r="D46" s="107"/>
      <c r="E46" s="74"/>
      <c r="F46" s="74"/>
      <c r="G46" s="103"/>
      <c r="H46" s="74"/>
      <c r="I46" s="74"/>
      <c r="J46" s="107"/>
      <c r="K46" s="166"/>
    </row>
    <row r="47" spans="1:18" ht="20.100000000000001" customHeight="1" thickBot="1" x14ac:dyDescent="0.35">
      <c r="B47" s="167"/>
      <c r="C47" s="168"/>
      <c r="D47" s="168"/>
      <c r="E47" s="195"/>
      <c r="F47" s="195"/>
      <c r="G47" s="169"/>
      <c r="H47" s="195"/>
      <c r="I47" s="195"/>
      <c r="J47" s="168"/>
      <c r="K47" s="172"/>
    </row>
    <row r="48" spans="1:18" ht="45" customHeight="1" x14ac:dyDescent="0.3">
      <c r="B48" s="496" t="s">
        <v>506</v>
      </c>
      <c r="C48" s="461"/>
      <c r="D48" s="461"/>
      <c r="E48" s="461"/>
      <c r="F48" s="461"/>
      <c r="G48" s="461"/>
      <c r="H48" s="461"/>
      <c r="I48" s="461"/>
      <c r="J48" s="461"/>
      <c r="K48" s="462"/>
    </row>
    <row r="49" spans="1:12" ht="20.100000000000001" customHeight="1" x14ac:dyDescent="0.3">
      <c r="B49" s="129" t="e">
        <f>$B$2</f>
        <v>#REF!</v>
      </c>
      <c r="C49" s="73"/>
      <c r="D49" s="73"/>
      <c r="E49" s="74"/>
      <c r="F49" s="74"/>
      <c r="G49" s="74"/>
      <c r="H49" s="74"/>
      <c r="I49" s="74"/>
      <c r="J49" s="74"/>
      <c r="K49" s="196" t="s">
        <v>481</v>
      </c>
    </row>
    <row r="50" spans="1:12" ht="24.95" customHeight="1" x14ac:dyDescent="0.3">
      <c r="B50" s="197" t="s">
        <v>507</v>
      </c>
      <c r="C50" s="81" t="s">
        <v>351</v>
      </c>
      <c r="D50" s="198" t="s">
        <v>508</v>
      </c>
      <c r="E50" s="199" t="s">
        <v>484</v>
      </c>
      <c r="F50" s="81" t="s">
        <v>485</v>
      </c>
      <c r="G50" s="81" t="s">
        <v>350</v>
      </c>
      <c r="H50" s="465" t="s">
        <v>454</v>
      </c>
      <c r="I50" s="494"/>
      <c r="J50" s="200"/>
      <c r="K50" s="201"/>
    </row>
    <row r="51" spans="1:12" ht="24.95" customHeight="1" x14ac:dyDescent="0.3">
      <c r="A51" s="69" t="str">
        <f>IF(D51&lt;=300,$A$61,IF(D51&lt;=500,$A$62,IF(D51&lt;=1000,$A$63,IF(D51&lt;=5000,$A$64,IF(D51&lt;=10000,$A$65,IF(D51&gt;10000,$A$66))))))</f>
        <v>10,000KW초과</v>
      </c>
      <c r="B51" s="132">
        <v>1</v>
      </c>
      <c r="C51" s="134" t="str">
        <f>$D$5</f>
        <v>3Φ 4선식</v>
      </c>
      <c r="D51" s="202">
        <v>10001</v>
      </c>
      <c r="E51" s="203">
        <f>VLOOKUP(A51,$A$61:$K$68,3,FALSE)</f>
        <v>293000</v>
      </c>
      <c r="F51" s="203">
        <f>VLOOKUP(A51,$A$61:$K$68,9,FALSE)</f>
        <v>7</v>
      </c>
      <c r="G51" s="203">
        <f>F51*D51</f>
        <v>70007</v>
      </c>
      <c r="H51" s="491">
        <f>E51+G51</f>
        <v>363007</v>
      </c>
      <c r="I51" s="491"/>
      <c r="J51" s="497" t="s">
        <v>509</v>
      </c>
      <c r="K51" s="498"/>
    </row>
    <row r="52" spans="1:12" ht="24.95" customHeight="1" x14ac:dyDescent="0.3">
      <c r="A52" s="69" t="str">
        <f>IF(D52&lt;=300,$A$61,IF(D52&lt;=500,$A$62,IF(D52&lt;=1000,$A$63,IF(D52&lt;=5000,$A$64,IF(D52&lt;=10000,$A$65,IF(D52&gt;10000,$A$66))))))</f>
        <v>5,000KW까지</v>
      </c>
      <c r="B52" s="132">
        <v>2</v>
      </c>
      <c r="C52" s="134" t="str">
        <f>$D$5</f>
        <v>3Φ 4선식</v>
      </c>
      <c r="D52" s="202">
        <v>1001</v>
      </c>
      <c r="E52" s="203">
        <f>VLOOKUP(A52,$A$61:$K$68,3,FALSE)</f>
        <v>293000</v>
      </c>
      <c r="F52" s="203">
        <f>VLOOKUP(A52,$A$61:$K$68,9,FALSE)</f>
        <v>86</v>
      </c>
      <c r="G52" s="203">
        <f>F52*D52</f>
        <v>86086</v>
      </c>
      <c r="H52" s="491">
        <f>E52+G52</f>
        <v>379086</v>
      </c>
      <c r="I52" s="491"/>
      <c r="J52" s="499"/>
      <c r="K52" s="500"/>
    </row>
    <row r="53" spans="1:12" ht="24.95" customHeight="1" x14ac:dyDescent="0.3">
      <c r="A53" s="69" t="str">
        <f>IF(D53&lt;=300,$A$61,IF(D53&lt;=500,$A$62,IF(D53&lt;=1000,$A$63,IF(D53&lt;=5000,$A$64,IF(D53&lt;=10000,$A$65,IF(D53&gt;10000,$A$66))))))</f>
        <v>300KW까지</v>
      </c>
      <c r="B53" s="132">
        <v>3</v>
      </c>
      <c r="C53" s="134" t="str">
        <f>$D$5</f>
        <v>3Φ 4선식</v>
      </c>
      <c r="D53" s="202">
        <v>100</v>
      </c>
      <c r="E53" s="203">
        <f>VLOOKUP(A53,$A$61:$K$68,3,FALSE)</f>
        <v>88000</v>
      </c>
      <c r="F53" s="203">
        <f>VLOOKUP(A53,$A$61:$K$68,9,FALSE)</f>
        <v>203</v>
      </c>
      <c r="G53" s="203">
        <f>F53*D53</f>
        <v>20300</v>
      </c>
      <c r="H53" s="491">
        <f>E53+G53</f>
        <v>108300</v>
      </c>
      <c r="I53" s="491"/>
      <c r="J53" s="499"/>
      <c r="K53" s="500"/>
    </row>
    <row r="54" spans="1:12" ht="24.95" customHeight="1" x14ac:dyDescent="0.3">
      <c r="A54" s="69" t="str">
        <f>IF(D54&lt;=300,$A$61,IF(D54&lt;=500,$A$62,IF(D54&lt;=1000,$A$63,IF(D54&lt;=5000,$A$64,IF(D54&lt;=10000,$A$65,IF(D54&gt;10000,$A$66))))))</f>
        <v>300KW까지</v>
      </c>
      <c r="B54" s="132">
        <v>4</v>
      </c>
      <c r="C54" s="134" t="str">
        <f>$D$5</f>
        <v>3Φ 4선식</v>
      </c>
      <c r="D54" s="202">
        <v>100</v>
      </c>
      <c r="E54" s="203">
        <f>VLOOKUP(A54,$A$61:$K$68,3,FALSE)</f>
        <v>88000</v>
      </c>
      <c r="F54" s="203">
        <f>VLOOKUP(A54,$A$61:$K$68,9,FALSE)</f>
        <v>203</v>
      </c>
      <c r="G54" s="203">
        <f>F54*D54</f>
        <v>20300</v>
      </c>
      <c r="H54" s="491">
        <f>E54+G54</f>
        <v>108300</v>
      </c>
      <c r="I54" s="491"/>
      <c r="J54" s="501"/>
      <c r="K54" s="502"/>
    </row>
    <row r="55" spans="1:12" ht="24.95" customHeight="1" x14ac:dyDescent="0.3">
      <c r="B55" s="132"/>
      <c r="C55" s="134"/>
      <c r="D55" s="202"/>
      <c r="E55" s="203"/>
      <c r="F55" s="203"/>
      <c r="G55" s="203"/>
      <c r="H55" s="491">
        <f>E55+G55</f>
        <v>0</v>
      </c>
      <c r="I55" s="491"/>
      <c r="J55" s="492"/>
      <c r="K55" s="493"/>
      <c r="L55" s="83"/>
    </row>
    <row r="56" spans="1:12" ht="24.95" customHeight="1" x14ac:dyDescent="0.3">
      <c r="B56" s="488" t="s">
        <v>510</v>
      </c>
      <c r="C56" s="489"/>
      <c r="D56" s="489"/>
      <c r="E56" s="489"/>
      <c r="F56" s="489"/>
      <c r="G56" s="490"/>
      <c r="H56" s="491">
        <f>SUM(H51:I54)</f>
        <v>958693</v>
      </c>
      <c r="I56" s="491"/>
      <c r="J56" s="492"/>
      <c r="K56" s="493"/>
      <c r="L56" s="83"/>
    </row>
    <row r="57" spans="1:12" ht="24.95" customHeight="1" x14ac:dyDescent="0.3">
      <c r="B57" s="488" t="s">
        <v>511</v>
      </c>
      <c r="C57" s="489"/>
      <c r="D57" s="489"/>
      <c r="E57" s="489"/>
      <c r="F57" s="489"/>
      <c r="G57" s="490"/>
      <c r="H57" s="491">
        <f>H56*J57</f>
        <v>95869.3</v>
      </c>
      <c r="I57" s="491"/>
      <c r="J57" s="495">
        <v>0.1</v>
      </c>
      <c r="K57" s="448"/>
      <c r="L57" s="83"/>
    </row>
    <row r="58" spans="1:12" ht="24.95" customHeight="1" x14ac:dyDescent="0.3">
      <c r="B58" s="488" t="s">
        <v>512</v>
      </c>
      <c r="C58" s="489"/>
      <c r="D58" s="489"/>
      <c r="E58" s="489"/>
      <c r="F58" s="489"/>
      <c r="G58" s="490"/>
      <c r="H58" s="491">
        <f>ROUNDUP((H56+H57),-3)</f>
        <v>1055000</v>
      </c>
      <c r="I58" s="491"/>
      <c r="J58" s="492"/>
      <c r="K58" s="493"/>
      <c r="L58" s="83"/>
    </row>
    <row r="59" spans="1:12" ht="20.100000000000001" customHeight="1" x14ac:dyDescent="0.3">
      <c r="B59" s="182"/>
      <c r="C59" s="183"/>
      <c r="D59" s="183"/>
      <c r="E59" s="183"/>
      <c r="F59" s="183"/>
      <c r="G59" s="183"/>
      <c r="H59" s="183"/>
      <c r="I59" s="183"/>
      <c r="J59" s="183"/>
      <c r="K59" s="184" t="s">
        <v>459</v>
      </c>
    </row>
    <row r="60" spans="1:12" ht="20.100000000000001" customHeight="1" x14ac:dyDescent="0.3">
      <c r="B60" s="185" t="s">
        <v>487</v>
      </c>
      <c r="C60" s="439" t="s">
        <v>488</v>
      </c>
      <c r="D60" s="439"/>
      <c r="E60" s="465" t="s">
        <v>489</v>
      </c>
      <c r="F60" s="466"/>
      <c r="G60" s="466"/>
      <c r="H60" s="466"/>
      <c r="I60" s="494"/>
      <c r="J60" s="439" t="s">
        <v>472</v>
      </c>
      <c r="K60" s="467"/>
    </row>
    <row r="61" spans="1:12" ht="20.100000000000001" customHeight="1" x14ac:dyDescent="0.3">
      <c r="A61" s="145" t="s">
        <v>513</v>
      </c>
      <c r="B61" s="145" t="s">
        <v>513</v>
      </c>
      <c r="C61" s="468">
        <v>88000</v>
      </c>
      <c r="D61" s="468"/>
      <c r="E61" s="471"/>
      <c r="F61" s="472"/>
      <c r="G61" s="472"/>
      <c r="H61" s="473"/>
      <c r="I61" s="70">
        <v>203</v>
      </c>
      <c r="J61" s="424"/>
      <c r="K61" s="425"/>
    </row>
    <row r="62" spans="1:12" ht="20.100000000000001" customHeight="1" x14ac:dyDescent="0.3">
      <c r="A62" s="69" t="s">
        <v>514</v>
      </c>
      <c r="B62" s="204" t="s">
        <v>515</v>
      </c>
      <c r="C62" s="469">
        <v>293000</v>
      </c>
      <c r="D62" s="470"/>
      <c r="E62" s="471" t="s">
        <v>514</v>
      </c>
      <c r="F62" s="472"/>
      <c r="G62" s="472"/>
      <c r="H62" s="473"/>
      <c r="I62" s="70">
        <v>177</v>
      </c>
      <c r="J62" s="424"/>
      <c r="K62" s="425"/>
    </row>
    <row r="63" spans="1:12" ht="20.100000000000001" customHeight="1" x14ac:dyDescent="0.3">
      <c r="A63" s="69" t="s">
        <v>516</v>
      </c>
      <c r="B63" s="205" t="str">
        <f>$B$62</f>
        <v>300KW초과</v>
      </c>
      <c r="C63" s="481">
        <f>$C$62</f>
        <v>293000</v>
      </c>
      <c r="D63" s="482"/>
      <c r="E63" s="471" t="s">
        <v>517</v>
      </c>
      <c r="F63" s="472"/>
      <c r="G63" s="472"/>
      <c r="H63" s="473"/>
      <c r="I63" s="70">
        <v>109</v>
      </c>
      <c r="J63" s="429"/>
      <c r="K63" s="430"/>
    </row>
    <row r="64" spans="1:12" ht="20.100000000000001" customHeight="1" x14ac:dyDescent="0.3">
      <c r="A64" s="69" t="s">
        <v>518</v>
      </c>
      <c r="B64" s="205" t="str">
        <f>$B$62</f>
        <v>300KW초과</v>
      </c>
      <c r="C64" s="481">
        <f>$C$62</f>
        <v>293000</v>
      </c>
      <c r="D64" s="482"/>
      <c r="E64" s="471" t="s">
        <v>519</v>
      </c>
      <c r="F64" s="472"/>
      <c r="G64" s="472"/>
      <c r="H64" s="473"/>
      <c r="I64" s="70">
        <v>86</v>
      </c>
      <c r="J64" s="429"/>
      <c r="K64" s="430"/>
    </row>
    <row r="65" spans="1:13" ht="20.100000000000001" customHeight="1" x14ac:dyDescent="0.3">
      <c r="A65" s="69" t="s">
        <v>520</v>
      </c>
      <c r="B65" s="205" t="str">
        <f>$B$62</f>
        <v>300KW초과</v>
      </c>
      <c r="C65" s="481">
        <f>$C$62</f>
        <v>293000</v>
      </c>
      <c r="D65" s="482"/>
      <c r="E65" s="471" t="s">
        <v>521</v>
      </c>
      <c r="F65" s="472"/>
      <c r="G65" s="472"/>
      <c r="H65" s="473"/>
      <c r="I65" s="70">
        <v>47</v>
      </c>
      <c r="J65" s="447"/>
      <c r="K65" s="448"/>
    </row>
    <row r="66" spans="1:13" ht="20.100000000000001" customHeight="1" x14ac:dyDescent="0.3">
      <c r="A66" s="69" t="s">
        <v>522</v>
      </c>
      <c r="B66" s="205" t="str">
        <f>$B$62</f>
        <v>300KW초과</v>
      </c>
      <c r="C66" s="481">
        <f>$C$62</f>
        <v>293000</v>
      </c>
      <c r="D66" s="482"/>
      <c r="E66" s="483" t="s">
        <v>523</v>
      </c>
      <c r="F66" s="484"/>
      <c r="G66" s="484"/>
      <c r="H66" s="485"/>
      <c r="I66" s="206">
        <v>7</v>
      </c>
      <c r="J66" s="486"/>
      <c r="K66" s="487"/>
    </row>
    <row r="67" spans="1:13" ht="20.100000000000001" customHeight="1" x14ac:dyDescent="0.3">
      <c r="A67" s="69" t="s">
        <v>524</v>
      </c>
      <c r="B67" s="204" t="s">
        <v>525</v>
      </c>
      <c r="C67" s="469">
        <v>3804000</v>
      </c>
      <c r="D67" s="470"/>
      <c r="E67" s="471" t="s">
        <v>526</v>
      </c>
      <c r="F67" s="472"/>
      <c r="G67" s="472"/>
      <c r="H67" s="473"/>
      <c r="I67" s="70">
        <v>34</v>
      </c>
      <c r="J67" s="447"/>
      <c r="K67" s="448"/>
    </row>
    <row r="68" spans="1:13" ht="20.100000000000001" customHeight="1" x14ac:dyDescent="0.3">
      <c r="A68" s="69" t="s">
        <v>527</v>
      </c>
      <c r="B68" s="207"/>
      <c r="C68" s="474">
        <f>C67</f>
        <v>3804000</v>
      </c>
      <c r="D68" s="475"/>
      <c r="E68" s="476" t="s">
        <v>503</v>
      </c>
      <c r="F68" s="477"/>
      <c r="G68" s="477"/>
      <c r="H68" s="478"/>
      <c r="I68" s="135">
        <v>18</v>
      </c>
      <c r="J68" s="479"/>
      <c r="K68" s="480"/>
    </row>
    <row r="69" spans="1:13" ht="20.100000000000001" customHeight="1" x14ac:dyDescent="0.3">
      <c r="B69" s="146" t="s">
        <v>528</v>
      </c>
      <c r="C69" s="107"/>
      <c r="D69" s="107"/>
      <c r="E69" s="74"/>
      <c r="F69" s="74"/>
      <c r="G69" s="103"/>
      <c r="H69" s="74"/>
      <c r="I69" s="74"/>
      <c r="J69" s="107"/>
      <c r="K69" s="166"/>
    </row>
    <row r="70" spans="1:13" ht="20.100000000000001" customHeight="1" thickBot="1" x14ac:dyDescent="0.35">
      <c r="B70" s="167"/>
      <c r="C70" s="168"/>
      <c r="D70" s="168"/>
      <c r="E70" s="195"/>
      <c r="F70" s="195"/>
      <c r="G70" s="169"/>
      <c r="H70" s="195"/>
      <c r="I70" s="195"/>
      <c r="J70" s="168"/>
      <c r="K70" s="172"/>
    </row>
    <row r="71" spans="1:13" ht="45" customHeight="1" x14ac:dyDescent="0.3">
      <c r="B71" s="460" t="s">
        <v>529</v>
      </c>
      <c r="C71" s="461"/>
      <c r="D71" s="461"/>
      <c r="E71" s="461"/>
      <c r="F71" s="461"/>
      <c r="G71" s="461"/>
      <c r="H71" s="461"/>
      <c r="I71" s="461"/>
      <c r="J71" s="461"/>
      <c r="K71" s="462"/>
      <c r="M71" s="463" t="s">
        <v>530</v>
      </c>
    </row>
    <row r="72" spans="1:13" ht="20.100000000000001" customHeight="1" x14ac:dyDescent="0.3">
      <c r="B72" s="129" t="e">
        <f>B2</f>
        <v>#REF!</v>
      </c>
      <c r="C72" s="73"/>
      <c r="D72" s="73"/>
      <c r="E72" s="74"/>
      <c r="F72" s="74"/>
      <c r="G72" s="74"/>
      <c r="H72" s="74"/>
      <c r="I72" s="74"/>
      <c r="J72" s="74"/>
      <c r="K72" s="130"/>
      <c r="M72" s="431"/>
    </row>
    <row r="73" spans="1:13" ht="20.100000000000001" customHeight="1" x14ac:dyDescent="0.3">
      <c r="B73" s="185" t="s">
        <v>531</v>
      </c>
      <c r="C73" s="439">
        <f>C4</f>
        <v>0</v>
      </c>
      <c r="D73" s="464"/>
      <c r="E73" s="81">
        <f>E4</f>
        <v>0</v>
      </c>
      <c r="F73" s="81" t="s">
        <v>532</v>
      </c>
      <c r="G73" s="81" t="s">
        <v>533</v>
      </c>
      <c r="H73" s="465" t="s">
        <v>534</v>
      </c>
      <c r="I73" s="466"/>
      <c r="J73" s="439" t="s">
        <v>472</v>
      </c>
      <c r="K73" s="467"/>
      <c r="M73" s="208"/>
    </row>
    <row r="74" spans="1:13" ht="20.100000000000001" customHeight="1" x14ac:dyDescent="0.3">
      <c r="B74" s="145" t="e">
        <f>IF(#REF!=0,0,IF(#REF!=1,"저압","고압"))</f>
        <v>#REF!</v>
      </c>
      <c r="C74" s="468" t="e">
        <f>IF(#REF!=0,0,"첨가거리를 초과하는 신설거리 매 1M당")</f>
        <v>#REF!</v>
      </c>
      <c r="D74" s="468"/>
      <c r="E74" s="468"/>
      <c r="F74" s="209" t="e">
        <f>#REF!</f>
        <v>#REF!</v>
      </c>
      <c r="G74" s="131" t="e">
        <f>IF(F74=0,0,"M")</f>
        <v>#REF!</v>
      </c>
      <c r="H74" s="455" t="e">
        <f>IF(C74=0,0,VLOOKUP(#REF!,#REF!,2,0))*F74</f>
        <v>#REF!</v>
      </c>
      <c r="I74" s="455"/>
      <c r="J74" s="456" t="e">
        <f>IF(#REF!=0,0,"부가가치세 별도")</f>
        <v>#REF!</v>
      </c>
      <c r="K74" s="457"/>
      <c r="M74" s="431" t="s">
        <v>535</v>
      </c>
    </row>
    <row r="75" spans="1:13" ht="20.100000000000001" customHeight="1" x14ac:dyDescent="0.3">
      <c r="B75" s="145" t="e">
        <f>IF(#REF!=0,0,IF(#REF!=1,"저압","고압"))</f>
        <v>#REF!</v>
      </c>
      <c r="C75" s="468" t="e">
        <f>IF(#REF!=0,0,"기본거리를 초과하는 신설거리 매 1M당")</f>
        <v>#REF!</v>
      </c>
      <c r="D75" s="468"/>
      <c r="E75" s="468"/>
      <c r="F75" s="209" t="e">
        <f>#REF!</f>
        <v>#REF!</v>
      </c>
      <c r="G75" s="131" t="e">
        <f>IF(F75=0,0,"M")</f>
        <v>#REF!</v>
      </c>
      <c r="H75" s="455" t="e">
        <f>IF(C75=0,0,VLOOKUP(#REF!,#REF!,3,0))*F75</f>
        <v>#REF!</v>
      </c>
      <c r="I75" s="455"/>
      <c r="J75" s="456" t="e">
        <f>IF(#REF!=0,0,"부가가치세 별도")</f>
        <v>#REF!</v>
      </c>
      <c r="K75" s="457"/>
      <c r="M75" s="431"/>
    </row>
    <row r="76" spans="1:13" ht="20.100000000000001" customHeight="1" x14ac:dyDescent="0.3">
      <c r="B76" s="458"/>
      <c r="C76" s="459"/>
      <c r="D76" s="459"/>
      <c r="E76" s="459"/>
      <c r="F76" s="210"/>
      <c r="G76" s="211"/>
      <c r="H76" s="459"/>
      <c r="I76" s="459"/>
      <c r="J76" s="459"/>
      <c r="K76" s="448"/>
      <c r="M76" s="208"/>
    </row>
    <row r="77" spans="1:13" ht="20.100000000000001" customHeight="1" x14ac:dyDescent="0.3">
      <c r="B77" s="445" t="s">
        <v>467</v>
      </c>
      <c r="C77" s="444"/>
      <c r="D77" s="444"/>
      <c r="E77" s="444"/>
      <c r="F77" s="209" t="e">
        <f>F75</f>
        <v>#REF!</v>
      </c>
      <c r="G77" s="131" t="e">
        <f>IF(F77=0,0,IF($B$5=$B$19,"KW","식"))</f>
        <v>#REF!</v>
      </c>
      <c r="H77" s="446" t="e">
        <f>SUM(H74:I75)</f>
        <v>#REF!</v>
      </c>
      <c r="I77" s="447"/>
      <c r="J77" s="447"/>
      <c r="K77" s="448"/>
      <c r="M77" s="212" t="s">
        <v>536</v>
      </c>
    </row>
    <row r="78" spans="1:13" ht="20.100000000000001" customHeight="1" x14ac:dyDescent="0.3">
      <c r="B78" s="445" t="s">
        <v>468</v>
      </c>
      <c r="C78" s="444"/>
      <c r="D78" s="444"/>
      <c r="E78" s="444"/>
      <c r="F78" s="70" t="e">
        <f>IF(H77=0,0,10)</f>
        <v>#REF!</v>
      </c>
      <c r="G78" s="70" t="e">
        <f>IF(F78=0,0,"%")</f>
        <v>#REF!</v>
      </c>
      <c r="H78" s="446" t="e">
        <f>H77*F78%</f>
        <v>#REF!</v>
      </c>
      <c r="I78" s="447"/>
      <c r="J78" s="447"/>
      <c r="K78" s="448"/>
      <c r="M78" s="212" t="s">
        <v>537</v>
      </c>
    </row>
    <row r="79" spans="1:13" ht="20.100000000000001" customHeight="1" x14ac:dyDescent="0.3">
      <c r="B79" s="449" t="s">
        <v>469</v>
      </c>
      <c r="C79" s="450"/>
      <c r="D79" s="450"/>
      <c r="E79" s="450"/>
      <c r="F79" s="135"/>
      <c r="G79" s="213"/>
      <c r="H79" s="451" t="e">
        <f>SUM(G77:H78)</f>
        <v>#REF!</v>
      </c>
      <c r="I79" s="452"/>
      <c r="J79" s="453" t="s">
        <v>486</v>
      </c>
      <c r="K79" s="454"/>
      <c r="M79" s="431" t="s">
        <v>538</v>
      </c>
    </row>
    <row r="80" spans="1:13" ht="20.100000000000001" customHeight="1" x14ac:dyDescent="0.3">
      <c r="B80" s="146"/>
      <c r="C80" s="74"/>
      <c r="D80" s="74"/>
      <c r="E80" s="74"/>
      <c r="F80" s="74"/>
      <c r="G80" s="74"/>
      <c r="H80" s="74"/>
      <c r="I80" s="74"/>
      <c r="J80" s="74"/>
      <c r="K80" s="141" t="s">
        <v>459</v>
      </c>
      <c r="M80" s="432"/>
    </row>
    <row r="81" spans="2:11" ht="20.100000000000001" customHeight="1" x14ac:dyDescent="0.3">
      <c r="B81" s="433" t="s">
        <v>487</v>
      </c>
      <c r="C81" s="434"/>
      <c r="D81" s="434"/>
      <c r="E81" s="435"/>
      <c r="F81" s="439" t="s">
        <v>539</v>
      </c>
      <c r="G81" s="439"/>
      <c r="H81" s="439"/>
      <c r="I81" s="435" t="s">
        <v>474</v>
      </c>
      <c r="J81" s="440" t="s">
        <v>472</v>
      </c>
      <c r="K81" s="441"/>
    </row>
    <row r="82" spans="2:11" ht="20.100000000000001" customHeight="1" x14ac:dyDescent="0.3">
      <c r="B82" s="436"/>
      <c r="C82" s="437"/>
      <c r="D82" s="437"/>
      <c r="E82" s="438"/>
      <c r="F82" s="444" t="s">
        <v>540</v>
      </c>
      <c r="G82" s="444"/>
      <c r="H82" s="70" t="s">
        <v>541</v>
      </c>
      <c r="I82" s="438"/>
      <c r="J82" s="442"/>
      <c r="K82" s="443"/>
    </row>
    <row r="83" spans="2:11" ht="20.100000000000001" customHeight="1" x14ac:dyDescent="0.3">
      <c r="B83" s="204" t="s">
        <v>542</v>
      </c>
      <c r="C83" s="214" t="s">
        <v>543</v>
      </c>
      <c r="D83" s="215"/>
      <c r="E83" s="216" t="s">
        <v>544</v>
      </c>
      <c r="F83" s="423">
        <v>48000</v>
      </c>
      <c r="G83" s="423"/>
      <c r="H83" s="156">
        <v>53000</v>
      </c>
      <c r="I83" s="217">
        <v>75000</v>
      </c>
      <c r="J83" s="424"/>
      <c r="K83" s="425"/>
    </row>
    <row r="84" spans="2:11" ht="20.100000000000001" customHeight="1" x14ac:dyDescent="0.3">
      <c r="B84" s="218" t="s">
        <v>545</v>
      </c>
      <c r="C84" s="214" t="s">
        <v>546</v>
      </c>
      <c r="D84" s="215"/>
      <c r="E84" s="216" t="s">
        <v>547</v>
      </c>
      <c r="F84" s="426">
        <v>53000</v>
      </c>
      <c r="G84" s="427"/>
      <c r="H84" s="428"/>
      <c r="I84" s="217">
        <v>137000</v>
      </c>
      <c r="J84" s="424"/>
      <c r="K84" s="425"/>
    </row>
    <row r="85" spans="2:11" ht="20.100000000000001" customHeight="1" x14ac:dyDescent="0.3">
      <c r="B85" s="204" t="s">
        <v>548</v>
      </c>
      <c r="C85" s="214" t="s">
        <v>543</v>
      </c>
      <c r="D85" s="214"/>
      <c r="E85" s="216" t="s">
        <v>544</v>
      </c>
      <c r="F85" s="426">
        <v>7000</v>
      </c>
      <c r="G85" s="427"/>
      <c r="H85" s="428"/>
      <c r="I85" s="70" t="str">
        <f>"-"</f>
        <v>-</v>
      </c>
      <c r="J85" s="429"/>
      <c r="K85" s="430"/>
    </row>
    <row r="86" spans="2:11" ht="20.100000000000001" customHeight="1" x14ac:dyDescent="0.3">
      <c r="B86" s="219" t="s">
        <v>545</v>
      </c>
      <c r="C86" s="220" t="s">
        <v>549</v>
      </c>
      <c r="D86" s="220"/>
      <c r="E86" s="221" t="s">
        <v>547</v>
      </c>
      <c r="F86" s="416">
        <v>12000</v>
      </c>
      <c r="G86" s="417"/>
      <c r="H86" s="418"/>
      <c r="I86" s="135" t="str">
        <f>"-"</f>
        <v>-</v>
      </c>
      <c r="J86" s="419"/>
      <c r="K86" s="420"/>
    </row>
    <row r="87" spans="2:11" ht="20.100000000000001" customHeight="1" x14ac:dyDescent="0.3">
      <c r="B87" s="146" t="s">
        <v>550</v>
      </c>
      <c r="C87" s="102"/>
      <c r="D87" s="102"/>
      <c r="E87" s="103"/>
      <c r="F87" s="103"/>
      <c r="G87" s="140"/>
      <c r="H87" s="73"/>
      <c r="I87" s="74"/>
      <c r="J87" s="102"/>
      <c r="K87" s="158"/>
    </row>
    <row r="88" spans="2:11" ht="20.100000000000001" customHeight="1" x14ac:dyDescent="0.3">
      <c r="B88" s="421" t="s">
        <v>551</v>
      </c>
      <c r="C88" s="362"/>
      <c r="D88" s="362"/>
      <c r="E88" s="362"/>
      <c r="F88" s="362"/>
      <c r="G88" s="362"/>
      <c r="H88" s="362"/>
      <c r="I88" s="362"/>
      <c r="J88" s="362"/>
      <c r="K88" s="422"/>
    </row>
    <row r="89" spans="2:11" ht="20.100000000000001" customHeight="1" x14ac:dyDescent="0.3">
      <c r="B89" s="421"/>
      <c r="C89" s="362"/>
      <c r="D89" s="362"/>
      <c r="E89" s="362"/>
      <c r="F89" s="362"/>
      <c r="G89" s="362"/>
      <c r="H89" s="362"/>
      <c r="I89" s="362"/>
      <c r="J89" s="362"/>
      <c r="K89" s="422"/>
    </row>
    <row r="90" spans="2:11" ht="9.9499999999999993" customHeight="1" x14ac:dyDescent="0.3">
      <c r="B90" s="421"/>
      <c r="C90" s="362"/>
      <c r="D90" s="362"/>
      <c r="E90" s="362"/>
      <c r="F90" s="362"/>
      <c r="G90" s="362"/>
      <c r="H90" s="362"/>
      <c r="I90" s="362"/>
      <c r="J90" s="362"/>
      <c r="K90" s="422"/>
    </row>
    <row r="91" spans="2:11" ht="20.100000000000001" customHeight="1" x14ac:dyDescent="0.3">
      <c r="B91" s="222" t="s">
        <v>552</v>
      </c>
      <c r="C91" s="106"/>
      <c r="D91" s="106"/>
      <c r="E91" s="74"/>
      <c r="F91" s="74"/>
      <c r="G91" s="74"/>
      <c r="H91" s="74"/>
      <c r="I91" s="74"/>
      <c r="J91" s="107"/>
      <c r="K91" s="166"/>
    </row>
    <row r="92" spans="2:11" ht="20.100000000000001" customHeight="1" x14ac:dyDescent="0.3">
      <c r="B92" s="146" t="s">
        <v>553</v>
      </c>
      <c r="C92" s="106"/>
      <c r="D92" s="106"/>
      <c r="E92" s="74"/>
      <c r="F92" s="74"/>
      <c r="G92" s="74"/>
      <c r="H92" s="74"/>
      <c r="I92" s="74"/>
      <c r="J92" s="107"/>
      <c r="K92" s="166"/>
    </row>
    <row r="93" spans="2:11" ht="20.100000000000001" customHeight="1" x14ac:dyDescent="0.3">
      <c r="B93" s="146" t="s">
        <v>554</v>
      </c>
      <c r="C93" s="104"/>
      <c r="D93" s="104"/>
      <c r="E93" s="74"/>
      <c r="F93" s="74"/>
      <c r="G93" s="74"/>
      <c r="H93" s="74"/>
      <c r="I93" s="74"/>
      <c r="J93" s="107"/>
      <c r="K93" s="166"/>
    </row>
    <row r="94" spans="2:11" ht="20.100000000000001" customHeight="1" x14ac:dyDescent="0.3">
      <c r="B94" s="146" t="s">
        <v>555</v>
      </c>
      <c r="C94" s="104"/>
      <c r="D94" s="104"/>
      <c r="E94" s="74"/>
      <c r="F94" s="74"/>
      <c r="G94" s="74"/>
      <c r="H94" s="74"/>
      <c r="I94" s="74"/>
      <c r="J94" s="107"/>
      <c r="K94" s="166"/>
    </row>
    <row r="95" spans="2:11" ht="9.9499999999999993" customHeight="1" thickBot="1" x14ac:dyDescent="0.35">
      <c r="B95" s="167"/>
      <c r="C95" s="223"/>
      <c r="D95" s="223"/>
      <c r="E95" s="195"/>
      <c r="F95" s="195"/>
      <c r="G95" s="195"/>
      <c r="H95" s="195"/>
      <c r="I95" s="195"/>
      <c r="J95" s="168"/>
      <c r="K95" s="172"/>
    </row>
    <row r="96" spans="2:11" ht="20.100000000000001" customHeight="1" thickBot="1" x14ac:dyDescent="0.35">
      <c r="B96" s="224"/>
      <c r="C96" s="168"/>
      <c r="D96" s="168"/>
      <c r="E96" s="169"/>
      <c r="F96" s="169"/>
      <c r="G96" s="170"/>
      <c r="H96" s="171"/>
      <c r="I96" s="170"/>
      <c r="J96" s="168"/>
      <c r="K96" s="172"/>
    </row>
    <row r="97" spans="2:11" ht="24.95" customHeight="1" x14ac:dyDescent="0.3">
      <c r="B97" s="225" t="s">
        <v>556</v>
      </c>
      <c r="C97" s="226"/>
      <c r="D97" s="226"/>
      <c r="E97" s="227"/>
      <c r="F97" s="227"/>
      <c r="G97" s="227"/>
      <c r="H97" s="227"/>
      <c r="I97" s="227"/>
      <c r="J97" s="227"/>
      <c r="K97" s="228"/>
    </row>
    <row r="98" spans="2:11" ht="20.100000000000001" customHeight="1" x14ac:dyDescent="0.3">
      <c r="B98" s="229" t="e">
        <f>B25</f>
        <v>#REF!</v>
      </c>
      <c r="C98" s="230"/>
      <c r="D98" s="230"/>
      <c r="K98" s="231"/>
    </row>
    <row r="99" spans="2:11" ht="20.100000000000001" customHeight="1" x14ac:dyDescent="0.3">
      <c r="B99" s="232" t="s">
        <v>531</v>
      </c>
      <c r="C99" s="381" t="str">
        <f>"3상4선식 "&amp;C100&amp;"KW"</f>
        <v>3상4선식 0KW</v>
      </c>
      <c r="D99" s="383"/>
      <c r="E99" s="233" t="s">
        <v>533</v>
      </c>
      <c r="F99" s="234"/>
      <c r="G99" s="381" t="s">
        <v>557</v>
      </c>
      <c r="H99" s="382"/>
      <c r="I99" s="383"/>
      <c r="J99" s="381" t="s">
        <v>472</v>
      </c>
      <c r="K99" s="384"/>
    </row>
    <row r="100" spans="2:11" ht="20.100000000000001" customHeight="1" x14ac:dyDescent="0.3">
      <c r="B100" s="235" t="s">
        <v>558</v>
      </c>
      <c r="C100" s="407">
        <f>C31</f>
        <v>0</v>
      </c>
      <c r="D100" s="408"/>
      <c r="E100" s="236" t="s">
        <v>559</v>
      </c>
      <c r="F100" s="237"/>
      <c r="G100" s="409">
        <f>I112</f>
        <v>181100</v>
      </c>
      <c r="H100" s="410"/>
      <c r="I100" s="238" t="s">
        <v>560</v>
      </c>
      <c r="J100" s="239" t="s">
        <v>561</v>
      </c>
      <c r="K100" s="240"/>
    </row>
    <row r="101" spans="2:11" ht="20.100000000000001" customHeight="1" x14ac:dyDescent="0.3">
      <c r="B101" s="241" t="s">
        <v>562</v>
      </c>
      <c r="C101" s="242"/>
      <c r="D101" s="243"/>
      <c r="E101" s="79"/>
      <c r="F101" s="244"/>
      <c r="G101" s="411">
        <f>G100</f>
        <v>181100</v>
      </c>
      <c r="H101" s="412"/>
      <c r="I101" s="245" t="s">
        <v>560</v>
      </c>
      <c r="J101" s="244"/>
      <c r="K101" s="246"/>
    </row>
    <row r="102" spans="2:11" ht="20.100000000000001" customHeight="1" x14ac:dyDescent="0.3">
      <c r="B102" s="241" t="s">
        <v>370</v>
      </c>
      <c r="C102" s="378">
        <v>10</v>
      </c>
      <c r="D102" s="379"/>
      <c r="E102" s="79" t="s">
        <v>349</v>
      </c>
      <c r="F102" s="244"/>
      <c r="G102" s="411">
        <f>G101*0.1</f>
        <v>18110</v>
      </c>
      <c r="H102" s="412"/>
      <c r="I102" s="245" t="s">
        <v>560</v>
      </c>
      <c r="J102" s="244"/>
      <c r="K102" s="247"/>
    </row>
    <row r="103" spans="2:11" ht="20.100000000000001" customHeight="1" x14ac:dyDescent="0.3">
      <c r="B103" s="413" t="s">
        <v>563</v>
      </c>
      <c r="C103" s="414"/>
      <c r="D103" s="414"/>
      <c r="E103" s="415"/>
      <c r="F103" s="248"/>
      <c r="G103" s="249"/>
      <c r="H103" s="250">
        <f>SUM(G101:H102)</f>
        <v>199210</v>
      </c>
      <c r="I103" s="251" t="s">
        <v>560</v>
      </c>
      <c r="J103" s="252"/>
      <c r="K103" s="253"/>
    </row>
    <row r="104" spans="2:11" ht="20.100000000000001" customHeight="1" x14ac:dyDescent="0.3">
      <c r="B104" s="254"/>
      <c r="K104" s="255" t="s">
        <v>459</v>
      </c>
    </row>
    <row r="105" spans="2:11" ht="20.100000000000001" customHeight="1" x14ac:dyDescent="0.3">
      <c r="B105" s="400" t="s">
        <v>564</v>
      </c>
      <c r="C105" s="401"/>
      <c r="D105" s="401"/>
      <c r="E105" s="401"/>
      <c r="F105" s="401"/>
      <c r="G105" s="401"/>
      <c r="H105" s="401"/>
      <c r="I105" s="233" t="s">
        <v>565</v>
      </c>
      <c r="J105" s="381" t="s">
        <v>472</v>
      </c>
      <c r="K105" s="384"/>
    </row>
    <row r="106" spans="2:11" ht="20.100000000000001" customHeight="1" x14ac:dyDescent="0.3">
      <c r="B106" s="402" t="s">
        <v>544</v>
      </c>
      <c r="C106" s="404" t="s">
        <v>566</v>
      </c>
      <c r="D106" s="404"/>
      <c r="E106" s="404"/>
      <c r="F106" s="404"/>
      <c r="G106" s="404"/>
      <c r="H106" s="404"/>
      <c r="I106" s="256">
        <v>64700</v>
      </c>
      <c r="J106" s="405" t="s">
        <v>477</v>
      </c>
      <c r="K106" s="406"/>
    </row>
    <row r="107" spans="2:11" ht="20.100000000000001" customHeight="1" x14ac:dyDescent="0.3">
      <c r="B107" s="395"/>
      <c r="C107" s="397" t="s">
        <v>567</v>
      </c>
      <c r="D107" s="397"/>
      <c r="E107" s="397"/>
      <c r="F107" s="397"/>
      <c r="G107" s="397"/>
      <c r="H107" s="397"/>
      <c r="I107" s="257">
        <v>73900</v>
      </c>
      <c r="J107" s="398"/>
      <c r="K107" s="399"/>
    </row>
    <row r="108" spans="2:11" ht="20.100000000000001" customHeight="1" x14ac:dyDescent="0.3">
      <c r="B108" s="403"/>
      <c r="C108" s="397" t="s">
        <v>568</v>
      </c>
      <c r="D108" s="397"/>
      <c r="E108" s="397"/>
      <c r="F108" s="397"/>
      <c r="G108" s="397"/>
      <c r="H108" s="397"/>
      <c r="I108" s="257">
        <v>85400</v>
      </c>
      <c r="J108" s="398"/>
      <c r="K108" s="399"/>
    </row>
    <row r="109" spans="2:11" ht="20.100000000000001" customHeight="1" x14ac:dyDescent="0.3">
      <c r="B109" s="394" t="s">
        <v>569</v>
      </c>
      <c r="C109" s="397" t="s">
        <v>570</v>
      </c>
      <c r="D109" s="397"/>
      <c r="E109" s="397"/>
      <c r="F109" s="397"/>
      <c r="G109" s="397"/>
      <c r="H109" s="397"/>
      <c r="I109" s="257">
        <v>87800</v>
      </c>
      <c r="J109" s="398"/>
      <c r="K109" s="399"/>
    </row>
    <row r="110" spans="2:11" ht="20.100000000000001" customHeight="1" x14ac:dyDescent="0.3">
      <c r="B110" s="395"/>
      <c r="C110" s="397" t="s">
        <v>571</v>
      </c>
      <c r="D110" s="397"/>
      <c r="E110" s="397"/>
      <c r="F110" s="397"/>
      <c r="G110" s="397"/>
      <c r="H110" s="397"/>
      <c r="I110" s="257">
        <v>112400</v>
      </c>
      <c r="J110" s="398"/>
      <c r="K110" s="399"/>
    </row>
    <row r="111" spans="2:11" ht="20.100000000000001" customHeight="1" x14ac:dyDescent="0.3">
      <c r="B111" s="395"/>
      <c r="C111" s="397" t="s">
        <v>572</v>
      </c>
      <c r="D111" s="397"/>
      <c r="E111" s="397"/>
      <c r="F111" s="397"/>
      <c r="G111" s="397"/>
      <c r="H111" s="397"/>
      <c r="I111" s="257">
        <v>125200</v>
      </c>
      <c r="J111" s="398"/>
      <c r="K111" s="399"/>
    </row>
    <row r="112" spans="2:11" ht="20.100000000000001" customHeight="1" x14ac:dyDescent="0.3">
      <c r="B112" s="395"/>
      <c r="C112" s="397" t="s">
        <v>573</v>
      </c>
      <c r="D112" s="397"/>
      <c r="E112" s="397"/>
      <c r="F112" s="397"/>
      <c r="G112" s="397"/>
      <c r="H112" s="397"/>
      <c r="I112" s="257">
        <v>181100</v>
      </c>
      <c r="J112" s="398"/>
      <c r="K112" s="399"/>
    </row>
    <row r="113" spans="2:12" ht="20.100000000000001" customHeight="1" x14ac:dyDescent="0.3">
      <c r="B113" s="395"/>
      <c r="C113" s="397" t="s">
        <v>574</v>
      </c>
      <c r="D113" s="397"/>
      <c r="E113" s="397"/>
      <c r="F113" s="397"/>
      <c r="G113" s="397"/>
      <c r="H113" s="397"/>
      <c r="I113" s="257">
        <v>211800</v>
      </c>
      <c r="J113" s="398"/>
      <c r="K113" s="399"/>
    </row>
    <row r="114" spans="2:12" ht="20.100000000000001" customHeight="1" x14ac:dyDescent="0.3">
      <c r="B114" s="395"/>
      <c r="C114" s="397" t="s">
        <v>575</v>
      </c>
      <c r="D114" s="397"/>
      <c r="E114" s="397"/>
      <c r="F114" s="397"/>
      <c r="G114" s="397"/>
      <c r="H114" s="397"/>
      <c r="I114" s="257">
        <v>286700</v>
      </c>
      <c r="J114" s="398"/>
      <c r="K114" s="399"/>
    </row>
    <row r="115" spans="2:12" ht="20.100000000000001" customHeight="1" x14ac:dyDescent="0.3">
      <c r="B115" s="395"/>
      <c r="C115" s="397" t="s">
        <v>576</v>
      </c>
      <c r="D115" s="397"/>
      <c r="E115" s="397"/>
      <c r="F115" s="397"/>
      <c r="G115" s="397"/>
      <c r="H115" s="397"/>
      <c r="I115" s="257">
        <v>360300</v>
      </c>
      <c r="J115" s="398"/>
      <c r="K115" s="399"/>
    </row>
    <row r="116" spans="2:12" ht="20.100000000000001" customHeight="1" x14ac:dyDescent="0.3">
      <c r="B116" s="395"/>
      <c r="C116" s="397" t="s">
        <v>577</v>
      </c>
      <c r="D116" s="397"/>
      <c r="E116" s="397"/>
      <c r="F116" s="397"/>
      <c r="G116" s="397"/>
      <c r="H116" s="397"/>
      <c r="I116" s="257">
        <v>429700</v>
      </c>
      <c r="J116" s="398"/>
      <c r="K116" s="399"/>
    </row>
    <row r="117" spans="2:12" ht="20.100000000000001" customHeight="1" x14ac:dyDescent="0.3">
      <c r="B117" s="395"/>
      <c r="C117" s="397" t="s">
        <v>578</v>
      </c>
      <c r="D117" s="397"/>
      <c r="E117" s="397"/>
      <c r="F117" s="397"/>
      <c r="G117" s="397"/>
      <c r="H117" s="397"/>
      <c r="I117" s="257">
        <v>540100</v>
      </c>
      <c r="J117" s="398"/>
      <c r="K117" s="399"/>
    </row>
    <row r="118" spans="2:12" ht="20.100000000000001" customHeight="1" x14ac:dyDescent="0.3">
      <c r="B118" s="395"/>
      <c r="C118" s="397" t="s">
        <v>579</v>
      </c>
      <c r="D118" s="397"/>
      <c r="E118" s="397"/>
      <c r="F118" s="397"/>
      <c r="G118" s="397"/>
      <c r="H118" s="397"/>
      <c r="I118" s="257">
        <v>619300</v>
      </c>
      <c r="J118" s="398"/>
      <c r="K118" s="399"/>
    </row>
    <row r="119" spans="2:12" ht="20.100000000000001" customHeight="1" x14ac:dyDescent="0.3">
      <c r="B119" s="395"/>
      <c r="C119" s="397" t="s">
        <v>580</v>
      </c>
      <c r="D119" s="397"/>
      <c r="E119" s="397"/>
      <c r="F119" s="397"/>
      <c r="G119" s="397"/>
      <c r="H119" s="397"/>
      <c r="I119" s="257">
        <v>810300</v>
      </c>
      <c r="J119" s="398"/>
      <c r="K119" s="399"/>
    </row>
    <row r="120" spans="2:12" ht="20.100000000000001" customHeight="1" x14ac:dyDescent="0.3">
      <c r="B120" s="396"/>
      <c r="C120" s="391" t="s">
        <v>581</v>
      </c>
      <c r="D120" s="391"/>
      <c r="E120" s="391"/>
      <c r="F120" s="391"/>
      <c r="G120" s="391"/>
      <c r="H120" s="391"/>
      <c r="I120" s="258">
        <v>972400</v>
      </c>
      <c r="J120" s="392"/>
      <c r="K120" s="393"/>
    </row>
    <row r="121" spans="2:12" ht="20.100000000000001" customHeight="1" x14ac:dyDescent="0.3">
      <c r="B121" s="259"/>
      <c r="C121" s="260"/>
      <c r="D121" s="260"/>
      <c r="E121" s="260"/>
      <c r="F121" s="260"/>
      <c r="G121" s="260"/>
      <c r="H121" s="260"/>
      <c r="I121" s="260"/>
      <c r="J121" s="260"/>
      <c r="K121" s="261"/>
    </row>
    <row r="122" spans="2:12" ht="20.100000000000001" customHeight="1" x14ac:dyDescent="0.3">
      <c r="B122" s="262" t="s">
        <v>448</v>
      </c>
      <c r="C122" s="226"/>
      <c r="D122" s="226"/>
      <c r="E122" s="227"/>
      <c r="F122" s="227"/>
      <c r="G122" s="227"/>
      <c r="H122" s="227"/>
      <c r="I122" s="227"/>
      <c r="J122" s="227"/>
      <c r="K122" s="228"/>
    </row>
    <row r="123" spans="2:12" ht="20.100000000000001" customHeight="1" x14ac:dyDescent="0.3">
      <c r="B123" s="229" t="e">
        <f>#REF!</f>
        <v>#REF!</v>
      </c>
      <c r="C123" s="230"/>
      <c r="D123" s="230"/>
      <c r="K123" s="231"/>
    </row>
    <row r="124" spans="2:12" ht="20.100000000000001" customHeight="1" x14ac:dyDescent="0.3">
      <c r="B124" s="232" t="s">
        <v>582</v>
      </c>
      <c r="C124" s="381" t="s">
        <v>583</v>
      </c>
      <c r="D124" s="383"/>
      <c r="E124" s="233" t="s">
        <v>533</v>
      </c>
      <c r="F124" s="234"/>
      <c r="G124" s="234" t="s">
        <v>584</v>
      </c>
      <c r="H124" s="263" t="s">
        <v>585</v>
      </c>
      <c r="I124" s="264" t="s">
        <v>586</v>
      </c>
      <c r="J124" s="381" t="s">
        <v>472</v>
      </c>
      <c r="K124" s="384"/>
      <c r="L124" s="83"/>
    </row>
    <row r="125" spans="2:12" ht="20.100000000000001" customHeight="1" x14ac:dyDescent="0.3">
      <c r="B125" s="235" t="s">
        <v>587</v>
      </c>
      <c r="C125" s="385" t="s">
        <v>588</v>
      </c>
      <c r="D125" s="386"/>
      <c r="E125" s="236" t="s">
        <v>560</v>
      </c>
      <c r="F125" s="237"/>
      <c r="G125" s="237" t="s">
        <v>589</v>
      </c>
      <c r="H125" s="265">
        <v>164000</v>
      </c>
      <c r="I125" s="266" t="s">
        <v>590</v>
      </c>
      <c r="J125" s="267" t="s">
        <v>591</v>
      </c>
      <c r="K125" s="240"/>
      <c r="L125" s="83"/>
    </row>
    <row r="126" spans="2:12" ht="20.100000000000001" customHeight="1" x14ac:dyDescent="0.3">
      <c r="B126" s="241" t="s">
        <v>592</v>
      </c>
      <c r="C126" s="378">
        <v>11</v>
      </c>
      <c r="D126" s="379"/>
      <c r="E126" s="79" t="s">
        <v>593</v>
      </c>
      <c r="F126" s="244"/>
      <c r="G126" s="244" t="s">
        <v>583</v>
      </c>
      <c r="H126" s="268">
        <f>H125*C126</f>
        <v>1804000</v>
      </c>
      <c r="I126" s="269"/>
      <c r="J126" s="270"/>
      <c r="K126" s="246"/>
      <c r="L126" s="92"/>
    </row>
    <row r="127" spans="2:12" ht="20.100000000000001" customHeight="1" x14ac:dyDescent="0.3">
      <c r="B127" s="241" t="s">
        <v>562</v>
      </c>
      <c r="C127" s="378"/>
      <c r="D127" s="379"/>
      <c r="E127" s="79" t="s">
        <v>559</v>
      </c>
      <c r="F127" s="244"/>
      <c r="G127" s="244"/>
      <c r="H127" s="271">
        <f>H126</f>
        <v>1804000</v>
      </c>
      <c r="I127" s="79"/>
      <c r="J127" s="244"/>
      <c r="K127" s="246"/>
      <c r="L127" s="92"/>
    </row>
    <row r="128" spans="2:12" ht="20.100000000000001" customHeight="1" x14ac:dyDescent="0.3">
      <c r="B128" s="241" t="s">
        <v>370</v>
      </c>
      <c r="C128" s="372">
        <v>0.1</v>
      </c>
      <c r="D128" s="373"/>
      <c r="E128" s="79"/>
      <c r="F128" s="244"/>
      <c r="G128" s="244"/>
      <c r="H128" s="272">
        <f>H127*0.1</f>
        <v>180400</v>
      </c>
      <c r="I128" s="79"/>
      <c r="J128" s="244"/>
      <c r="K128" s="247"/>
      <c r="L128" s="92"/>
    </row>
    <row r="129" spans="2:13" ht="20.100000000000001" customHeight="1" x14ac:dyDescent="0.3">
      <c r="B129" s="273" t="s">
        <v>563</v>
      </c>
      <c r="C129" s="374">
        <f>H127+H128</f>
        <v>1984400</v>
      </c>
      <c r="D129" s="375"/>
      <c r="E129" s="248" t="s">
        <v>560</v>
      </c>
      <c r="F129" s="248"/>
      <c r="G129" s="249"/>
      <c r="H129" s="248"/>
      <c r="I129" s="248"/>
      <c r="J129" s="252" t="s">
        <v>594</v>
      </c>
      <c r="K129" s="253"/>
      <c r="L129" s="83"/>
    </row>
    <row r="130" spans="2:13" ht="20.100000000000001" customHeight="1" x14ac:dyDescent="0.3">
      <c r="B130" s="254" t="s">
        <v>595</v>
      </c>
      <c r="K130" s="274"/>
      <c r="L130" s="83"/>
    </row>
    <row r="131" spans="2:13" ht="20.100000000000001" customHeight="1" x14ac:dyDescent="0.3">
      <c r="B131" s="254" t="s">
        <v>596</v>
      </c>
      <c r="K131" s="274"/>
      <c r="L131" s="83"/>
    </row>
    <row r="132" spans="2:13" ht="20.100000000000001" customHeight="1" x14ac:dyDescent="0.3">
      <c r="B132" s="254" t="s">
        <v>597</v>
      </c>
      <c r="C132" s="275"/>
      <c r="D132" s="275"/>
      <c r="G132" s="276"/>
      <c r="I132" s="275"/>
      <c r="J132" s="387"/>
      <c r="K132" s="388"/>
      <c r="L132" s="83"/>
    </row>
    <row r="133" spans="2:13" ht="20.100000000000001" customHeight="1" x14ac:dyDescent="0.3">
      <c r="B133" s="277" t="s">
        <v>598</v>
      </c>
      <c r="C133" s="278" t="str">
        <f t="shared" ref="C133:C138" si="0">"나트륨 150W * "&amp;L133&amp;"등"</f>
        <v>나트륨 150W * 22등</v>
      </c>
      <c r="D133" s="278"/>
      <c r="E133" s="276" t="s">
        <v>599</v>
      </c>
      <c r="F133" s="276"/>
      <c r="G133" s="68" t="str">
        <f t="shared" ref="G133:G138" si="1">"150W*"&amp;L133&amp;"*1.15 ="</f>
        <v>150W*22*1.15 =</v>
      </c>
      <c r="H133" s="230">
        <f t="shared" ref="H133:H138" si="2">150*$L133*1.15</f>
        <v>3794.9999999999995</v>
      </c>
      <c r="I133" s="69" t="s">
        <v>600</v>
      </c>
      <c r="J133" s="278" t="str">
        <f>"나트륨 150W * "&amp;$M133&amp;"등"</f>
        <v>나트륨 150W * 19등</v>
      </c>
      <c r="K133" s="279" t="e">
        <f>"= 150W*"&amp;M133&amp;"*1.15 = "&amp;#REF!&amp;""</f>
        <v>#REF!</v>
      </c>
      <c r="L133" s="69">
        <v>22</v>
      </c>
      <c r="M133" s="69">
        <f>4+3+6+6</f>
        <v>19</v>
      </c>
    </row>
    <row r="134" spans="2:13" ht="20.100000000000001" customHeight="1" x14ac:dyDescent="0.3">
      <c r="B134" s="277" t="s">
        <v>601</v>
      </c>
      <c r="C134" s="278" t="str">
        <f t="shared" si="0"/>
        <v>나트륨 150W * 20등</v>
      </c>
      <c r="D134" s="278"/>
      <c r="E134" s="276" t="s">
        <v>599</v>
      </c>
      <c r="F134" s="276"/>
      <c r="G134" s="68" t="str">
        <f t="shared" si="1"/>
        <v>150W*20*1.15 =</v>
      </c>
      <c r="H134" s="230">
        <f t="shared" si="2"/>
        <v>3449.9999999999995</v>
      </c>
      <c r="I134" s="69" t="s">
        <v>602</v>
      </c>
      <c r="J134" s="278" t="str">
        <f>"나트륨 150W * "&amp;$M134&amp;"등"</f>
        <v>나트륨 150W * 24등</v>
      </c>
      <c r="K134" s="279" t="e">
        <f>"= 150W*"&amp;M134&amp;"*1.15 = "&amp;#REF!&amp;""</f>
        <v>#REF!</v>
      </c>
      <c r="L134" s="69">
        <v>20</v>
      </c>
      <c r="M134" s="69">
        <v>24</v>
      </c>
    </row>
    <row r="135" spans="2:13" ht="20.100000000000001" customHeight="1" x14ac:dyDescent="0.3">
      <c r="B135" s="277" t="s">
        <v>603</v>
      </c>
      <c r="C135" s="278" t="str">
        <f t="shared" si="0"/>
        <v>나트륨 150W * 24등</v>
      </c>
      <c r="D135" s="278"/>
      <c r="E135" s="276" t="s">
        <v>599</v>
      </c>
      <c r="F135" s="276"/>
      <c r="G135" s="68" t="str">
        <f t="shared" si="1"/>
        <v>150W*24*1.15 =</v>
      </c>
      <c r="H135" s="230">
        <f t="shared" si="2"/>
        <v>4140</v>
      </c>
      <c r="I135" s="69" t="s">
        <v>604</v>
      </c>
      <c r="J135" s="278" t="str">
        <f>"나트륨 150W * "&amp;$M135&amp;"등"</f>
        <v>나트륨 150W * 25등</v>
      </c>
      <c r="K135" s="279" t="e">
        <f>"= 150W*"&amp;M135&amp;"*1.15 = "&amp;#REF!&amp;""</f>
        <v>#REF!</v>
      </c>
      <c r="L135" s="69">
        <v>24</v>
      </c>
      <c r="M135" s="69">
        <v>25</v>
      </c>
    </row>
    <row r="136" spans="2:13" ht="20.100000000000001" customHeight="1" x14ac:dyDescent="0.3">
      <c r="B136" s="277" t="s">
        <v>605</v>
      </c>
      <c r="C136" s="278" t="str">
        <f t="shared" si="0"/>
        <v>나트륨 150W * 24등</v>
      </c>
      <c r="D136" s="278"/>
      <c r="E136" s="276" t="s">
        <v>599</v>
      </c>
      <c r="F136" s="276"/>
      <c r="G136" s="68" t="str">
        <f t="shared" si="1"/>
        <v>150W*24*1.15 =</v>
      </c>
      <c r="H136" s="230">
        <f t="shared" si="2"/>
        <v>4140</v>
      </c>
      <c r="I136" s="69" t="s">
        <v>606</v>
      </c>
      <c r="J136" s="278" t="str">
        <f>"나트륨 150W * "&amp;$M136&amp;"등"</f>
        <v>나트륨 150W * 22등</v>
      </c>
      <c r="K136" s="279" t="e">
        <f>"= 150W*"&amp;M136&amp;"*1.15 = "&amp;#REF!&amp;""</f>
        <v>#REF!</v>
      </c>
      <c r="L136" s="69">
        <v>24</v>
      </c>
      <c r="M136" s="69">
        <v>22</v>
      </c>
    </row>
    <row r="137" spans="2:13" ht="20.100000000000001" customHeight="1" x14ac:dyDescent="0.3">
      <c r="B137" s="277" t="s">
        <v>607</v>
      </c>
      <c r="C137" s="278" t="str">
        <f t="shared" si="0"/>
        <v>나트륨 150W * 25등</v>
      </c>
      <c r="D137" s="278"/>
      <c r="E137" s="276" t="s">
        <v>599</v>
      </c>
      <c r="F137" s="276"/>
      <c r="G137" s="68" t="str">
        <f t="shared" si="1"/>
        <v>150W*25*1.15 =</v>
      </c>
      <c r="H137" s="230">
        <f t="shared" si="2"/>
        <v>4312.5</v>
      </c>
      <c r="I137" s="69" t="s">
        <v>608</v>
      </c>
      <c r="J137" s="278" t="str">
        <f>"나트륨 150W * "&amp;$M137&amp;"등"</f>
        <v>나트륨 150W * 19등</v>
      </c>
      <c r="K137" s="279" t="e">
        <f>"= 150W*"&amp;M137&amp;"*1.15 = "&amp;#REF!&amp;""</f>
        <v>#REF!</v>
      </c>
      <c r="L137" s="69">
        <v>25</v>
      </c>
      <c r="M137" s="69">
        <v>19</v>
      </c>
    </row>
    <row r="138" spans="2:13" ht="20.100000000000001" customHeight="1" x14ac:dyDescent="0.3">
      <c r="B138" s="277" t="s">
        <v>609</v>
      </c>
      <c r="C138" s="278" t="str">
        <f t="shared" si="0"/>
        <v>나트륨 150W * 18등</v>
      </c>
      <c r="D138" s="278"/>
      <c r="E138" s="276" t="s">
        <v>599</v>
      </c>
      <c r="F138" s="276"/>
      <c r="G138" s="68" t="str">
        <f t="shared" si="1"/>
        <v>150W*18*1.15 =</v>
      </c>
      <c r="H138" s="230">
        <f t="shared" si="2"/>
        <v>3104.9999999999995</v>
      </c>
      <c r="J138" s="278"/>
      <c r="K138" s="279"/>
      <c r="L138" s="69">
        <f>4+4+5+5</f>
        <v>18</v>
      </c>
    </row>
    <row r="139" spans="2:13" ht="20.100000000000001" customHeight="1" x14ac:dyDescent="0.3">
      <c r="B139" s="254"/>
      <c r="C139" s="278"/>
      <c r="D139" s="278"/>
      <c r="E139" s="280"/>
      <c r="F139" s="280"/>
      <c r="G139" s="68"/>
      <c r="H139" s="281"/>
      <c r="I139" s="68"/>
      <c r="J139" s="278"/>
      <c r="K139" s="274"/>
      <c r="L139" s="83"/>
    </row>
    <row r="140" spans="2:13" s="283" customFormat="1" ht="20.100000000000001" customHeight="1" x14ac:dyDescent="0.3">
      <c r="B140" s="282" t="s">
        <v>610</v>
      </c>
      <c r="C140" s="380">
        <f>SUM(H133:H138)</f>
        <v>22942.5</v>
      </c>
      <c r="D140" s="380"/>
      <c r="E140" s="283" t="s">
        <v>611</v>
      </c>
      <c r="I140" s="283" t="s">
        <v>612</v>
      </c>
      <c r="J140" s="284" t="e">
        <f>SUM(#REF!)</f>
        <v>#REF!</v>
      </c>
      <c r="K140" s="285" t="s">
        <v>611</v>
      </c>
      <c r="L140" s="286"/>
    </row>
    <row r="141" spans="2:13" ht="20.100000000000001" customHeight="1" x14ac:dyDescent="0.3">
      <c r="B141" s="277"/>
      <c r="C141" s="287"/>
      <c r="D141" s="287"/>
      <c r="J141" s="288"/>
      <c r="K141" s="274"/>
      <c r="L141" s="83"/>
    </row>
    <row r="142" spans="2:13" ht="20.100000000000001" customHeight="1" x14ac:dyDescent="0.3">
      <c r="B142" s="277"/>
      <c r="C142" s="275"/>
      <c r="D142" s="275"/>
      <c r="J142" s="288"/>
      <c r="K142" s="274"/>
      <c r="L142" s="83"/>
    </row>
    <row r="143" spans="2:13" ht="20.100000000000001" customHeight="1" x14ac:dyDescent="0.3">
      <c r="B143" s="254" t="s">
        <v>613</v>
      </c>
      <c r="C143" s="288"/>
      <c r="D143" s="288"/>
      <c r="E143" s="276"/>
      <c r="F143" s="276"/>
      <c r="G143" s="68"/>
      <c r="H143" s="281"/>
      <c r="I143" s="68"/>
      <c r="J143" s="288"/>
      <c r="K143" s="274"/>
      <c r="L143" s="389">
        <f>SUM(,M133:M142,L133:L142)</f>
        <v>242</v>
      </c>
      <c r="M143" s="390"/>
    </row>
    <row r="144" spans="2:13" ht="20.100000000000001" customHeight="1" x14ac:dyDescent="0.3">
      <c r="B144" s="254"/>
      <c r="C144" s="288"/>
      <c r="D144" s="288"/>
      <c r="E144" s="276"/>
      <c r="F144" s="276"/>
      <c r="G144" s="68"/>
      <c r="H144" s="281"/>
      <c r="I144" s="289"/>
      <c r="J144" s="288"/>
      <c r="K144" s="274"/>
      <c r="L144" s="83"/>
    </row>
    <row r="145" spans="2:12" ht="20.100000000000001" customHeight="1" x14ac:dyDescent="0.3">
      <c r="B145" s="282" t="s">
        <v>614</v>
      </c>
      <c r="C145" s="380" t="e">
        <f>C140+J140</f>
        <v>#REF!</v>
      </c>
      <c r="D145" s="380"/>
      <c r="E145" s="283" t="s">
        <v>611</v>
      </c>
      <c r="F145" s="283"/>
      <c r="J145" s="288"/>
      <c r="K145" s="274"/>
      <c r="L145" s="83"/>
    </row>
    <row r="146" spans="2:12" ht="20.100000000000001" customHeight="1" x14ac:dyDescent="0.3">
      <c r="B146" s="259"/>
      <c r="C146" s="290"/>
      <c r="D146" s="290"/>
      <c r="E146" s="260"/>
      <c r="F146" s="260"/>
      <c r="G146" s="260"/>
      <c r="H146" s="260"/>
      <c r="I146" s="260"/>
      <c r="J146" s="291"/>
      <c r="K146" s="292"/>
      <c r="L146" s="83"/>
    </row>
    <row r="147" spans="2:12" ht="20.100000000000001" customHeight="1" x14ac:dyDescent="0.3">
      <c r="B147" s="262" t="s">
        <v>615</v>
      </c>
      <c r="C147" s="226"/>
      <c r="D147" s="226"/>
      <c r="E147" s="227"/>
      <c r="F147" s="227"/>
      <c r="G147" s="227"/>
      <c r="H147" s="227"/>
      <c r="I147" s="227"/>
      <c r="J147" s="227"/>
      <c r="K147" s="228"/>
    </row>
    <row r="148" spans="2:12" ht="20.100000000000001" customHeight="1" x14ac:dyDescent="0.3">
      <c r="B148" s="229" t="e">
        <f>B123</f>
        <v>#REF!</v>
      </c>
      <c r="C148" s="230"/>
      <c r="D148" s="230"/>
      <c r="K148" s="231"/>
    </row>
    <row r="149" spans="2:12" ht="20.100000000000001" customHeight="1" x14ac:dyDescent="0.3">
      <c r="B149" s="232" t="s">
        <v>531</v>
      </c>
      <c r="C149" s="381" t="s">
        <v>616</v>
      </c>
      <c r="D149" s="382"/>
      <c r="E149" s="382"/>
      <c r="F149" s="382"/>
      <c r="G149" s="382"/>
      <c r="H149" s="382"/>
      <c r="I149" s="383"/>
      <c r="J149" s="381" t="s">
        <v>472</v>
      </c>
      <c r="K149" s="384"/>
    </row>
    <row r="150" spans="2:12" ht="20.100000000000001" customHeight="1" x14ac:dyDescent="0.3">
      <c r="B150" s="235" t="s">
        <v>617</v>
      </c>
      <c r="C150" s="385" t="s">
        <v>618</v>
      </c>
      <c r="D150" s="386"/>
      <c r="E150" s="236" t="s">
        <v>560</v>
      </c>
      <c r="F150" s="236"/>
      <c r="G150" s="293">
        <v>32500</v>
      </c>
      <c r="H150" s="293" t="s">
        <v>619</v>
      </c>
      <c r="I150" s="294">
        <f>196/4*G150</f>
        <v>1592500</v>
      </c>
      <c r="J150" s="239" t="s">
        <v>620</v>
      </c>
      <c r="K150" s="240"/>
    </row>
    <row r="151" spans="2:12" ht="20.100000000000001" customHeight="1" x14ac:dyDescent="0.3">
      <c r="B151" s="241" t="s">
        <v>621</v>
      </c>
      <c r="C151" s="378">
        <v>171</v>
      </c>
      <c r="D151" s="379"/>
      <c r="E151" s="79" t="s">
        <v>622</v>
      </c>
      <c r="F151" s="79"/>
      <c r="G151" s="79" t="s">
        <v>623</v>
      </c>
      <c r="H151" s="257">
        <v>5200</v>
      </c>
      <c r="I151" s="269">
        <f>C151*H151</f>
        <v>889200</v>
      </c>
      <c r="J151" s="270"/>
      <c r="K151" s="246"/>
    </row>
    <row r="152" spans="2:12" ht="20.100000000000001" customHeight="1" x14ac:dyDescent="0.3">
      <c r="B152" s="241" t="s">
        <v>562</v>
      </c>
      <c r="C152" s="378"/>
      <c r="D152" s="379"/>
      <c r="E152" s="79" t="s">
        <v>559</v>
      </c>
      <c r="F152" s="79"/>
      <c r="G152" s="79"/>
      <c r="H152" s="295">
        <f>I150+I151</f>
        <v>2481700</v>
      </c>
      <c r="I152" s="79"/>
      <c r="J152" s="244"/>
      <c r="K152" s="246"/>
    </row>
    <row r="153" spans="2:12" ht="20.100000000000001" customHeight="1" x14ac:dyDescent="0.3">
      <c r="B153" s="241" t="s">
        <v>370</v>
      </c>
      <c r="C153" s="372">
        <v>0.1</v>
      </c>
      <c r="D153" s="373"/>
      <c r="E153" s="79"/>
      <c r="F153" s="79"/>
      <c r="G153" s="79"/>
      <c r="H153" s="296">
        <f>H152*0.1</f>
        <v>248170</v>
      </c>
      <c r="I153" s="79"/>
      <c r="J153" s="244"/>
      <c r="K153" s="247"/>
    </row>
    <row r="154" spans="2:12" ht="20.100000000000001" customHeight="1" x14ac:dyDescent="0.3">
      <c r="B154" s="273" t="s">
        <v>563</v>
      </c>
      <c r="C154" s="374">
        <f>TRUNC((H152+H153)/1000)*1000</f>
        <v>2729000</v>
      </c>
      <c r="D154" s="375"/>
      <c r="E154" s="248" t="s">
        <v>560</v>
      </c>
      <c r="F154" s="248"/>
      <c r="G154" s="249"/>
      <c r="H154" s="248"/>
      <c r="I154" s="248"/>
      <c r="J154" s="252"/>
      <c r="K154" s="253"/>
    </row>
    <row r="155" spans="2:12" ht="20.100000000000001" customHeight="1" x14ac:dyDescent="0.3">
      <c r="B155" s="254" t="s">
        <v>595</v>
      </c>
      <c r="K155" s="274"/>
    </row>
    <row r="156" spans="2:12" ht="20.100000000000001" customHeight="1" x14ac:dyDescent="0.3">
      <c r="B156" s="254" t="s">
        <v>596</v>
      </c>
      <c r="K156" s="274"/>
    </row>
    <row r="157" spans="2:12" ht="20.100000000000001" customHeight="1" x14ac:dyDescent="0.3">
      <c r="B157" s="254"/>
      <c r="C157" s="288"/>
      <c r="D157" s="288"/>
      <c r="G157" s="276"/>
      <c r="H157" s="230"/>
      <c r="I157" s="230"/>
      <c r="J157" s="376"/>
      <c r="K157" s="377"/>
    </row>
    <row r="158" spans="2:12" ht="20.100000000000001" customHeight="1" x14ac:dyDescent="0.3">
      <c r="B158" s="254"/>
      <c r="C158" s="288"/>
      <c r="D158" s="288"/>
      <c r="G158" s="276"/>
      <c r="H158" s="288"/>
      <c r="I158" s="230"/>
      <c r="J158" s="297"/>
      <c r="K158" s="274"/>
    </row>
    <row r="159" spans="2:12" ht="20.100000000000001" customHeight="1" x14ac:dyDescent="0.3">
      <c r="B159" s="254"/>
      <c r="C159" s="288"/>
      <c r="D159" s="288"/>
      <c r="G159" s="276"/>
      <c r="H159" s="288"/>
      <c r="I159" s="108"/>
      <c r="J159" s="288"/>
      <c r="K159" s="274"/>
    </row>
    <row r="160" spans="2:12" ht="20.100000000000001" customHeight="1" x14ac:dyDescent="0.3">
      <c r="B160" s="254"/>
      <c r="C160" s="288"/>
      <c r="D160" s="288"/>
      <c r="G160" s="276"/>
      <c r="H160" s="230"/>
      <c r="K160" s="274"/>
    </row>
    <row r="161" spans="2:12" ht="20.100000000000001" customHeight="1" x14ac:dyDescent="0.3">
      <c r="B161" s="254"/>
      <c r="C161" s="288"/>
      <c r="D161" s="288"/>
      <c r="G161" s="276"/>
      <c r="H161" s="298"/>
      <c r="K161" s="231"/>
    </row>
    <row r="162" spans="2:12" ht="20.100000000000001" customHeight="1" x14ac:dyDescent="0.3">
      <c r="B162" s="254"/>
      <c r="C162" s="288"/>
      <c r="D162" s="288"/>
      <c r="G162" s="276"/>
      <c r="K162" s="274"/>
    </row>
    <row r="163" spans="2:12" ht="20.100000000000001" customHeight="1" x14ac:dyDescent="0.3">
      <c r="B163" s="254"/>
      <c r="C163" s="288"/>
      <c r="D163" s="288"/>
      <c r="G163" s="276"/>
      <c r="J163" s="288"/>
      <c r="K163" s="274"/>
    </row>
    <row r="164" spans="2:12" ht="20.100000000000001" customHeight="1" x14ac:dyDescent="0.3">
      <c r="B164" s="254"/>
      <c r="C164" s="288"/>
      <c r="D164" s="288"/>
      <c r="G164" s="276"/>
      <c r="J164" s="288"/>
      <c r="K164" s="274"/>
    </row>
    <row r="165" spans="2:12" ht="20.100000000000001" customHeight="1" x14ac:dyDescent="0.3">
      <c r="B165" s="254"/>
      <c r="C165" s="288"/>
      <c r="D165" s="288"/>
      <c r="G165" s="276"/>
      <c r="J165" s="288"/>
      <c r="K165" s="274"/>
    </row>
    <row r="166" spans="2:12" ht="20.100000000000001" customHeight="1" x14ac:dyDescent="0.3">
      <c r="B166" s="254"/>
      <c r="C166" s="288"/>
      <c r="D166" s="288"/>
      <c r="G166" s="276"/>
      <c r="J166" s="288"/>
      <c r="K166" s="274"/>
    </row>
    <row r="167" spans="2:12" ht="20.100000000000001" customHeight="1" x14ac:dyDescent="0.3">
      <c r="B167" s="254"/>
      <c r="C167" s="288"/>
      <c r="D167" s="288"/>
      <c r="G167" s="276"/>
      <c r="J167" s="288"/>
      <c r="K167" s="274"/>
    </row>
    <row r="168" spans="2:12" ht="20.100000000000001" customHeight="1" x14ac:dyDescent="0.3">
      <c r="B168" s="254"/>
      <c r="C168" s="288"/>
      <c r="D168" s="288"/>
      <c r="G168" s="276"/>
      <c r="J168" s="288"/>
      <c r="K168" s="274"/>
    </row>
    <row r="169" spans="2:12" ht="20.100000000000001" customHeight="1" x14ac:dyDescent="0.3">
      <c r="B169" s="254"/>
      <c r="C169" s="288"/>
      <c r="D169" s="288"/>
      <c r="G169" s="276"/>
      <c r="J169" s="288"/>
      <c r="K169" s="274"/>
    </row>
    <row r="170" spans="2:12" ht="20.100000000000001" customHeight="1" x14ac:dyDescent="0.3">
      <c r="B170" s="254"/>
      <c r="C170" s="288"/>
      <c r="D170" s="288"/>
      <c r="G170" s="276"/>
      <c r="J170" s="288"/>
      <c r="K170" s="274"/>
    </row>
    <row r="171" spans="2:12" ht="20.100000000000001" customHeight="1" x14ac:dyDescent="0.3">
      <c r="B171" s="259"/>
      <c r="C171" s="260"/>
      <c r="D171" s="260"/>
      <c r="E171" s="260"/>
      <c r="F171" s="260"/>
      <c r="G171" s="260"/>
      <c r="H171" s="260"/>
      <c r="I171" s="260"/>
      <c r="J171" s="260"/>
      <c r="K171" s="261"/>
    </row>
    <row r="173" spans="2:12" ht="20.100000000000001" customHeight="1" x14ac:dyDescent="0.3">
      <c r="B173" s="241" t="s">
        <v>587</v>
      </c>
      <c r="C173" s="378" t="s">
        <v>588</v>
      </c>
      <c r="D173" s="379"/>
      <c r="E173" s="79" t="s">
        <v>560</v>
      </c>
      <c r="F173" s="244"/>
      <c r="G173" s="244"/>
      <c r="H173" s="268">
        <v>64000</v>
      </c>
      <c r="I173" s="299" t="s">
        <v>590</v>
      </c>
      <c r="J173" s="270"/>
      <c r="K173" s="246"/>
      <c r="L173" s="92"/>
    </row>
    <row r="174" spans="2:12" ht="20.100000000000001" customHeight="1" x14ac:dyDescent="0.3">
      <c r="B174" s="288">
        <f>(2500-200)*39000</f>
        <v>89700000</v>
      </c>
    </row>
  </sheetData>
  <sheetProtection formatCells="0" formatColumns="0" formatRows="0" insertColumns="0" insertRows="0" insertHyperlinks="0" deleteColumns="0" deleteRows="0" selectLockedCells="1" sort="0" autoFilter="0" pivotTables="0"/>
  <mergeCells count="233">
    <mergeCell ref="B1:K1"/>
    <mergeCell ref="B3:B4"/>
    <mergeCell ref="C3:D4"/>
    <mergeCell ref="E3:E4"/>
    <mergeCell ref="F3:I3"/>
    <mergeCell ref="J3:K4"/>
    <mergeCell ref="H4:I4"/>
    <mergeCell ref="H5:I5"/>
    <mergeCell ref="M5:N5"/>
    <mergeCell ref="B7:E7"/>
    <mergeCell ref="F7:G7"/>
    <mergeCell ref="J7:K7"/>
    <mergeCell ref="B8:B9"/>
    <mergeCell ref="C8:E8"/>
    <mergeCell ref="F8:G8"/>
    <mergeCell ref="J8:K10"/>
    <mergeCell ref="C9:E9"/>
    <mergeCell ref="L23:M23"/>
    <mergeCell ref="B12:G12"/>
    <mergeCell ref="H12:I12"/>
    <mergeCell ref="J12:K12"/>
    <mergeCell ref="B13:G13"/>
    <mergeCell ref="H13:I13"/>
    <mergeCell ref="J13:K13"/>
    <mergeCell ref="F9:G9"/>
    <mergeCell ref="C10:E10"/>
    <mergeCell ref="F10:G10"/>
    <mergeCell ref="B11:G11"/>
    <mergeCell ref="H11:I11"/>
    <mergeCell ref="J11:K11"/>
    <mergeCell ref="B24:K24"/>
    <mergeCell ref="B26:B27"/>
    <mergeCell ref="C26:D27"/>
    <mergeCell ref="E26:E27"/>
    <mergeCell ref="F26:I26"/>
    <mergeCell ref="J26:K27"/>
    <mergeCell ref="H27:I27"/>
    <mergeCell ref="B15:G16"/>
    <mergeCell ref="H15:I15"/>
    <mergeCell ref="J15:K16"/>
    <mergeCell ref="B17:B18"/>
    <mergeCell ref="J17:K17"/>
    <mergeCell ref="A31:A32"/>
    <mergeCell ref="B31:D32"/>
    <mergeCell ref="E31:F32"/>
    <mergeCell ref="J31:K32"/>
    <mergeCell ref="B33:G33"/>
    <mergeCell ref="H33:I33"/>
    <mergeCell ref="J33:K33"/>
    <mergeCell ref="H28:I28"/>
    <mergeCell ref="J28:K28"/>
    <mergeCell ref="H29:I29"/>
    <mergeCell ref="J29:K29"/>
    <mergeCell ref="B30:D30"/>
    <mergeCell ref="E30:F30"/>
    <mergeCell ref="J30:K30"/>
    <mergeCell ref="C37:D37"/>
    <mergeCell ref="E37:I37"/>
    <mergeCell ref="J37:K37"/>
    <mergeCell ref="M37:N37"/>
    <mergeCell ref="O37:R37"/>
    <mergeCell ref="C38:D38"/>
    <mergeCell ref="E38:H38"/>
    <mergeCell ref="J38:K38"/>
    <mergeCell ref="B34:G34"/>
    <mergeCell ref="H34:I34"/>
    <mergeCell ref="J34:K34"/>
    <mergeCell ref="B35:G35"/>
    <mergeCell ref="H35:I35"/>
    <mergeCell ref="J35:K35"/>
    <mergeCell ref="C39:D39"/>
    <mergeCell ref="E39:H39"/>
    <mergeCell ref="J39:K39"/>
    <mergeCell ref="M39:M43"/>
    <mergeCell ref="C40:D40"/>
    <mergeCell ref="E40:H40"/>
    <mergeCell ref="J40:K40"/>
    <mergeCell ref="C41:D41"/>
    <mergeCell ref="E41:H41"/>
    <mergeCell ref="J41:K41"/>
    <mergeCell ref="B48:K48"/>
    <mergeCell ref="H50:I50"/>
    <mergeCell ref="H51:I51"/>
    <mergeCell ref="J51:K54"/>
    <mergeCell ref="H52:I52"/>
    <mergeCell ref="H53:I53"/>
    <mergeCell ref="H54:I54"/>
    <mergeCell ref="C42:D42"/>
    <mergeCell ref="E42:H42"/>
    <mergeCell ref="J42:K42"/>
    <mergeCell ref="C43:D43"/>
    <mergeCell ref="E43:H43"/>
    <mergeCell ref="J43:K43"/>
    <mergeCell ref="B58:G58"/>
    <mergeCell ref="H58:I58"/>
    <mergeCell ref="J58:K58"/>
    <mergeCell ref="C60:D60"/>
    <mergeCell ref="E60:I60"/>
    <mergeCell ref="J60:K60"/>
    <mergeCell ref="H55:I55"/>
    <mergeCell ref="J55:K55"/>
    <mergeCell ref="B56:G56"/>
    <mergeCell ref="H56:I56"/>
    <mergeCell ref="J56:K56"/>
    <mergeCell ref="B57:G57"/>
    <mergeCell ref="H57:I57"/>
    <mergeCell ref="J57:K57"/>
    <mergeCell ref="C63:D63"/>
    <mergeCell ref="E63:H63"/>
    <mergeCell ref="J63:K63"/>
    <mergeCell ref="C64:D64"/>
    <mergeCell ref="E64:H64"/>
    <mergeCell ref="J64:K64"/>
    <mergeCell ref="C61:D61"/>
    <mergeCell ref="E61:H61"/>
    <mergeCell ref="J61:K61"/>
    <mergeCell ref="C62:D62"/>
    <mergeCell ref="E62:H62"/>
    <mergeCell ref="J62:K62"/>
    <mergeCell ref="C67:D67"/>
    <mergeCell ref="E67:H67"/>
    <mergeCell ref="J67:K67"/>
    <mergeCell ref="C68:D68"/>
    <mergeCell ref="E68:H68"/>
    <mergeCell ref="J68:K68"/>
    <mergeCell ref="C65:D65"/>
    <mergeCell ref="E65:H65"/>
    <mergeCell ref="J65:K65"/>
    <mergeCell ref="C66:D66"/>
    <mergeCell ref="E66:H66"/>
    <mergeCell ref="J66:K66"/>
    <mergeCell ref="B71:K71"/>
    <mergeCell ref="M71:M72"/>
    <mergeCell ref="C73:D73"/>
    <mergeCell ref="H73:I73"/>
    <mergeCell ref="J73:K73"/>
    <mergeCell ref="C74:E74"/>
    <mergeCell ref="H74:I74"/>
    <mergeCell ref="J74:K74"/>
    <mergeCell ref="M74:M75"/>
    <mergeCell ref="C75:E75"/>
    <mergeCell ref="B78:E78"/>
    <mergeCell ref="H78:I78"/>
    <mergeCell ref="J78:K78"/>
    <mergeCell ref="B79:E79"/>
    <mergeCell ref="H79:I79"/>
    <mergeCell ref="J79:K79"/>
    <mergeCell ref="H75:I75"/>
    <mergeCell ref="J75:K75"/>
    <mergeCell ref="B76:E76"/>
    <mergeCell ref="H76:I76"/>
    <mergeCell ref="J76:K76"/>
    <mergeCell ref="B77:E77"/>
    <mergeCell ref="H77:I77"/>
    <mergeCell ref="J77:K77"/>
    <mergeCell ref="F83:G83"/>
    <mergeCell ref="J83:K83"/>
    <mergeCell ref="F84:H84"/>
    <mergeCell ref="J84:K84"/>
    <mergeCell ref="F85:H85"/>
    <mergeCell ref="J85:K85"/>
    <mergeCell ref="M79:M80"/>
    <mergeCell ref="B81:E82"/>
    <mergeCell ref="F81:H81"/>
    <mergeCell ref="I81:I82"/>
    <mergeCell ref="J81:K82"/>
    <mergeCell ref="F82:G82"/>
    <mergeCell ref="C100:D100"/>
    <mergeCell ref="G100:H100"/>
    <mergeCell ref="G101:H101"/>
    <mergeCell ref="C102:D102"/>
    <mergeCell ref="G102:H102"/>
    <mergeCell ref="B103:E103"/>
    <mergeCell ref="F86:H86"/>
    <mergeCell ref="J86:K86"/>
    <mergeCell ref="B88:K90"/>
    <mergeCell ref="C99:D99"/>
    <mergeCell ref="G99:I99"/>
    <mergeCell ref="J99:K99"/>
    <mergeCell ref="B105:H105"/>
    <mergeCell ref="J105:K105"/>
    <mergeCell ref="B106:B108"/>
    <mergeCell ref="C106:H106"/>
    <mergeCell ref="J106:K106"/>
    <mergeCell ref="C107:H107"/>
    <mergeCell ref="J107:K107"/>
    <mergeCell ref="C108:H108"/>
    <mergeCell ref="J108:K108"/>
    <mergeCell ref="B109:B120"/>
    <mergeCell ref="C109:H109"/>
    <mergeCell ref="J109:K109"/>
    <mergeCell ref="C110:H110"/>
    <mergeCell ref="J110:K110"/>
    <mergeCell ref="C111:H111"/>
    <mergeCell ref="J111:K111"/>
    <mergeCell ref="C112:H112"/>
    <mergeCell ref="J112:K112"/>
    <mergeCell ref="C113:H113"/>
    <mergeCell ref="C117:H117"/>
    <mergeCell ref="J117:K117"/>
    <mergeCell ref="C118:H118"/>
    <mergeCell ref="J118:K118"/>
    <mergeCell ref="C119:H119"/>
    <mergeCell ref="J119:K119"/>
    <mergeCell ref="J113:K113"/>
    <mergeCell ref="C114:H114"/>
    <mergeCell ref="J114:K114"/>
    <mergeCell ref="C115:H115"/>
    <mergeCell ref="J115:K115"/>
    <mergeCell ref="C116:H116"/>
    <mergeCell ref="J116:K116"/>
    <mergeCell ref="C127:D127"/>
    <mergeCell ref="C128:D128"/>
    <mergeCell ref="C129:D129"/>
    <mergeCell ref="J132:K132"/>
    <mergeCell ref="C140:D140"/>
    <mergeCell ref="L143:M143"/>
    <mergeCell ref="C120:H120"/>
    <mergeCell ref="J120:K120"/>
    <mergeCell ref="C124:D124"/>
    <mergeCell ref="J124:K124"/>
    <mergeCell ref="C125:D125"/>
    <mergeCell ref="C126:D126"/>
    <mergeCell ref="C153:D153"/>
    <mergeCell ref="C154:D154"/>
    <mergeCell ref="J157:K157"/>
    <mergeCell ref="C173:D173"/>
    <mergeCell ref="C145:D145"/>
    <mergeCell ref="C149:I149"/>
    <mergeCell ref="J149:K149"/>
    <mergeCell ref="C150:D150"/>
    <mergeCell ref="C151:D151"/>
    <mergeCell ref="C152:D152"/>
  </mergeCells>
  <phoneticPr fontId="1" type="noConversion"/>
  <dataValidations count="9">
    <dataValidation type="list" allowBlank="1" showInputMessage="1" showErrorMessage="1" sqref="WUM983067 B65563 IA65563 RW65563 ABS65563 ALO65563 AVK65563 BFG65563 BPC65563 BYY65563 CIU65563 CSQ65563 DCM65563 DMI65563 DWE65563 EGA65563 EPW65563 EZS65563 FJO65563 FTK65563 GDG65563 GNC65563 GWY65563 HGU65563 HQQ65563 IAM65563 IKI65563 IUE65563 JEA65563 JNW65563 JXS65563 KHO65563 KRK65563 LBG65563 LLC65563 LUY65563 MEU65563 MOQ65563 MYM65563 NII65563 NSE65563 OCA65563 OLW65563 OVS65563 PFO65563 PPK65563 PZG65563 QJC65563 QSY65563 RCU65563 RMQ65563 RWM65563 SGI65563 SQE65563 TAA65563 TJW65563 TTS65563 UDO65563 UNK65563 UXG65563 VHC65563 VQY65563 WAU65563 WKQ65563 WUM65563 B131099 IA131099 RW131099 ABS131099 ALO131099 AVK131099 BFG131099 BPC131099 BYY131099 CIU131099 CSQ131099 DCM131099 DMI131099 DWE131099 EGA131099 EPW131099 EZS131099 FJO131099 FTK131099 GDG131099 GNC131099 GWY131099 HGU131099 HQQ131099 IAM131099 IKI131099 IUE131099 JEA131099 JNW131099 JXS131099 KHO131099 KRK131099 LBG131099 LLC131099 LUY131099 MEU131099 MOQ131099 MYM131099 NII131099 NSE131099 OCA131099 OLW131099 OVS131099 PFO131099 PPK131099 PZG131099 QJC131099 QSY131099 RCU131099 RMQ131099 RWM131099 SGI131099 SQE131099 TAA131099 TJW131099 TTS131099 UDO131099 UNK131099 UXG131099 VHC131099 VQY131099 WAU131099 WKQ131099 WUM131099 B196635 IA196635 RW196635 ABS196635 ALO196635 AVK196635 BFG196635 BPC196635 BYY196635 CIU196635 CSQ196635 DCM196635 DMI196635 DWE196635 EGA196635 EPW196635 EZS196635 FJO196635 FTK196635 GDG196635 GNC196635 GWY196635 HGU196635 HQQ196635 IAM196635 IKI196635 IUE196635 JEA196635 JNW196635 JXS196635 KHO196635 KRK196635 LBG196635 LLC196635 LUY196635 MEU196635 MOQ196635 MYM196635 NII196635 NSE196635 OCA196635 OLW196635 OVS196635 PFO196635 PPK196635 PZG196635 QJC196635 QSY196635 RCU196635 RMQ196635 RWM196635 SGI196635 SQE196635 TAA196635 TJW196635 TTS196635 UDO196635 UNK196635 UXG196635 VHC196635 VQY196635 WAU196635 WKQ196635 WUM196635 B262171 IA262171 RW262171 ABS262171 ALO262171 AVK262171 BFG262171 BPC262171 BYY262171 CIU262171 CSQ262171 DCM262171 DMI262171 DWE262171 EGA262171 EPW262171 EZS262171 FJO262171 FTK262171 GDG262171 GNC262171 GWY262171 HGU262171 HQQ262171 IAM262171 IKI262171 IUE262171 JEA262171 JNW262171 JXS262171 KHO262171 KRK262171 LBG262171 LLC262171 LUY262171 MEU262171 MOQ262171 MYM262171 NII262171 NSE262171 OCA262171 OLW262171 OVS262171 PFO262171 PPK262171 PZG262171 QJC262171 QSY262171 RCU262171 RMQ262171 RWM262171 SGI262171 SQE262171 TAA262171 TJW262171 TTS262171 UDO262171 UNK262171 UXG262171 VHC262171 VQY262171 WAU262171 WKQ262171 WUM262171 B327707 IA327707 RW327707 ABS327707 ALO327707 AVK327707 BFG327707 BPC327707 BYY327707 CIU327707 CSQ327707 DCM327707 DMI327707 DWE327707 EGA327707 EPW327707 EZS327707 FJO327707 FTK327707 GDG327707 GNC327707 GWY327707 HGU327707 HQQ327707 IAM327707 IKI327707 IUE327707 JEA327707 JNW327707 JXS327707 KHO327707 KRK327707 LBG327707 LLC327707 LUY327707 MEU327707 MOQ327707 MYM327707 NII327707 NSE327707 OCA327707 OLW327707 OVS327707 PFO327707 PPK327707 PZG327707 QJC327707 QSY327707 RCU327707 RMQ327707 RWM327707 SGI327707 SQE327707 TAA327707 TJW327707 TTS327707 UDO327707 UNK327707 UXG327707 VHC327707 VQY327707 WAU327707 WKQ327707 WUM327707 B393243 IA393243 RW393243 ABS393243 ALO393243 AVK393243 BFG393243 BPC393243 BYY393243 CIU393243 CSQ393243 DCM393243 DMI393243 DWE393243 EGA393243 EPW393243 EZS393243 FJO393243 FTK393243 GDG393243 GNC393243 GWY393243 HGU393243 HQQ393243 IAM393243 IKI393243 IUE393243 JEA393243 JNW393243 JXS393243 KHO393243 KRK393243 LBG393243 LLC393243 LUY393243 MEU393243 MOQ393243 MYM393243 NII393243 NSE393243 OCA393243 OLW393243 OVS393243 PFO393243 PPK393243 PZG393243 QJC393243 QSY393243 RCU393243 RMQ393243 RWM393243 SGI393243 SQE393243 TAA393243 TJW393243 TTS393243 UDO393243 UNK393243 UXG393243 VHC393243 VQY393243 WAU393243 WKQ393243 WUM393243 B458779 IA458779 RW458779 ABS458779 ALO458779 AVK458779 BFG458779 BPC458779 BYY458779 CIU458779 CSQ458779 DCM458779 DMI458779 DWE458779 EGA458779 EPW458779 EZS458779 FJO458779 FTK458779 GDG458779 GNC458779 GWY458779 HGU458779 HQQ458779 IAM458779 IKI458779 IUE458779 JEA458779 JNW458779 JXS458779 KHO458779 KRK458779 LBG458779 LLC458779 LUY458779 MEU458779 MOQ458779 MYM458779 NII458779 NSE458779 OCA458779 OLW458779 OVS458779 PFO458779 PPK458779 PZG458779 QJC458779 QSY458779 RCU458779 RMQ458779 RWM458779 SGI458779 SQE458779 TAA458779 TJW458779 TTS458779 UDO458779 UNK458779 UXG458779 VHC458779 VQY458779 WAU458779 WKQ458779 WUM458779 B524315 IA524315 RW524315 ABS524315 ALO524315 AVK524315 BFG524315 BPC524315 BYY524315 CIU524315 CSQ524315 DCM524315 DMI524315 DWE524315 EGA524315 EPW524315 EZS524315 FJO524315 FTK524315 GDG524315 GNC524315 GWY524315 HGU524315 HQQ524315 IAM524315 IKI524315 IUE524315 JEA524315 JNW524315 JXS524315 KHO524315 KRK524315 LBG524315 LLC524315 LUY524315 MEU524315 MOQ524315 MYM524315 NII524315 NSE524315 OCA524315 OLW524315 OVS524315 PFO524315 PPK524315 PZG524315 QJC524315 QSY524315 RCU524315 RMQ524315 RWM524315 SGI524315 SQE524315 TAA524315 TJW524315 TTS524315 UDO524315 UNK524315 UXG524315 VHC524315 VQY524315 WAU524315 WKQ524315 WUM524315 B589851 IA589851 RW589851 ABS589851 ALO589851 AVK589851 BFG589851 BPC589851 BYY589851 CIU589851 CSQ589851 DCM589851 DMI589851 DWE589851 EGA589851 EPW589851 EZS589851 FJO589851 FTK589851 GDG589851 GNC589851 GWY589851 HGU589851 HQQ589851 IAM589851 IKI589851 IUE589851 JEA589851 JNW589851 JXS589851 KHO589851 KRK589851 LBG589851 LLC589851 LUY589851 MEU589851 MOQ589851 MYM589851 NII589851 NSE589851 OCA589851 OLW589851 OVS589851 PFO589851 PPK589851 PZG589851 QJC589851 QSY589851 RCU589851 RMQ589851 RWM589851 SGI589851 SQE589851 TAA589851 TJW589851 TTS589851 UDO589851 UNK589851 UXG589851 VHC589851 VQY589851 WAU589851 WKQ589851 WUM589851 B655387 IA655387 RW655387 ABS655387 ALO655387 AVK655387 BFG655387 BPC655387 BYY655387 CIU655387 CSQ655387 DCM655387 DMI655387 DWE655387 EGA655387 EPW655387 EZS655387 FJO655387 FTK655387 GDG655387 GNC655387 GWY655387 HGU655387 HQQ655387 IAM655387 IKI655387 IUE655387 JEA655387 JNW655387 JXS655387 KHO655387 KRK655387 LBG655387 LLC655387 LUY655387 MEU655387 MOQ655387 MYM655387 NII655387 NSE655387 OCA655387 OLW655387 OVS655387 PFO655387 PPK655387 PZG655387 QJC655387 QSY655387 RCU655387 RMQ655387 RWM655387 SGI655387 SQE655387 TAA655387 TJW655387 TTS655387 UDO655387 UNK655387 UXG655387 VHC655387 VQY655387 WAU655387 WKQ655387 WUM655387 B720923 IA720923 RW720923 ABS720923 ALO720923 AVK720923 BFG720923 BPC720923 BYY720923 CIU720923 CSQ720923 DCM720923 DMI720923 DWE720923 EGA720923 EPW720923 EZS720923 FJO720923 FTK720923 GDG720923 GNC720923 GWY720923 HGU720923 HQQ720923 IAM720923 IKI720923 IUE720923 JEA720923 JNW720923 JXS720923 KHO720923 KRK720923 LBG720923 LLC720923 LUY720923 MEU720923 MOQ720923 MYM720923 NII720923 NSE720923 OCA720923 OLW720923 OVS720923 PFO720923 PPK720923 PZG720923 QJC720923 QSY720923 RCU720923 RMQ720923 RWM720923 SGI720923 SQE720923 TAA720923 TJW720923 TTS720923 UDO720923 UNK720923 UXG720923 VHC720923 VQY720923 WAU720923 WKQ720923 WUM720923 B786459 IA786459 RW786459 ABS786459 ALO786459 AVK786459 BFG786459 BPC786459 BYY786459 CIU786459 CSQ786459 DCM786459 DMI786459 DWE786459 EGA786459 EPW786459 EZS786459 FJO786459 FTK786459 GDG786459 GNC786459 GWY786459 HGU786459 HQQ786459 IAM786459 IKI786459 IUE786459 JEA786459 JNW786459 JXS786459 KHO786459 KRK786459 LBG786459 LLC786459 LUY786459 MEU786459 MOQ786459 MYM786459 NII786459 NSE786459 OCA786459 OLW786459 OVS786459 PFO786459 PPK786459 PZG786459 QJC786459 QSY786459 RCU786459 RMQ786459 RWM786459 SGI786459 SQE786459 TAA786459 TJW786459 TTS786459 UDO786459 UNK786459 UXG786459 VHC786459 VQY786459 WAU786459 WKQ786459 WUM786459 B851995 IA851995 RW851995 ABS851995 ALO851995 AVK851995 BFG851995 BPC851995 BYY851995 CIU851995 CSQ851995 DCM851995 DMI851995 DWE851995 EGA851995 EPW851995 EZS851995 FJO851995 FTK851995 GDG851995 GNC851995 GWY851995 HGU851995 HQQ851995 IAM851995 IKI851995 IUE851995 JEA851995 JNW851995 JXS851995 KHO851995 KRK851995 LBG851995 LLC851995 LUY851995 MEU851995 MOQ851995 MYM851995 NII851995 NSE851995 OCA851995 OLW851995 OVS851995 PFO851995 PPK851995 PZG851995 QJC851995 QSY851995 RCU851995 RMQ851995 RWM851995 SGI851995 SQE851995 TAA851995 TJW851995 TTS851995 UDO851995 UNK851995 UXG851995 VHC851995 VQY851995 WAU851995 WKQ851995 WUM851995 B917531 IA917531 RW917531 ABS917531 ALO917531 AVK917531 BFG917531 BPC917531 BYY917531 CIU917531 CSQ917531 DCM917531 DMI917531 DWE917531 EGA917531 EPW917531 EZS917531 FJO917531 FTK917531 GDG917531 GNC917531 GWY917531 HGU917531 HQQ917531 IAM917531 IKI917531 IUE917531 JEA917531 JNW917531 JXS917531 KHO917531 KRK917531 LBG917531 LLC917531 LUY917531 MEU917531 MOQ917531 MYM917531 NII917531 NSE917531 OCA917531 OLW917531 OVS917531 PFO917531 PPK917531 PZG917531 QJC917531 QSY917531 RCU917531 RMQ917531 RWM917531 SGI917531 SQE917531 TAA917531 TJW917531 TTS917531 UDO917531 UNK917531 UXG917531 VHC917531 VQY917531 WAU917531 WKQ917531 WUM917531 B983067 IA983067 RW983067 ABS983067 ALO983067 AVK983067 BFG983067 BPC983067 BYY983067 CIU983067 CSQ983067 DCM983067 DMI983067 DWE983067 EGA983067 EPW983067 EZS983067 FJO983067 FTK983067 GDG983067 GNC983067 GWY983067 HGU983067 HQQ983067 IAM983067 IKI983067 IUE983067 JEA983067 JNW983067 JXS983067 KHO983067 KRK983067 LBG983067 LLC983067 LUY983067 MEU983067 MOQ983067 MYM983067 NII983067 NSE983067 OCA983067 OLW983067 OVS983067 PFO983067 PPK983067 PZG983067 QJC983067 QSY983067 RCU983067 RMQ983067 RWM983067 SGI983067 SQE983067 TAA983067 TJW983067 TTS983067 UDO983067 UNK983067 UXG983067 VHC983067 VQY983067 WAU983067 WKQ983067" xr:uid="{048D760C-424E-4F6A-9881-94C2A85416E6}">
      <formula1>B65572:B65574</formula1>
    </dataValidation>
    <dataValidation type="list" allowBlank="1" showInputMessage="1" showErrorMessage="1" sqref="WUP983066 WKT983066 WAX983066 VRB983066 VHF983066 UXJ983066 UNN983066 UDR983066 TTV983066 TJZ983066 TAD983066 SQH983066 SGL983066 RWP983066 RMT983066 RCX983066 QTB983066 QJF983066 PZJ983066 PPN983066 PFR983066 OVV983066 OLZ983066 OCD983066 NSH983066 NIL983066 MYP983066 MOT983066 MEX983066 LVB983066 LLF983066 LBJ983066 KRN983066 KHR983066 JXV983066 JNZ983066 JED983066 IUH983066 IKL983066 IAP983066 HQT983066 HGX983066 GXB983066 GNF983066 GDJ983066 FTN983066 FJR983066 EZV983066 EPZ983066 EGD983066 DWH983066 DML983066 DCP983066 CST983066 CIX983066 BZB983066 BPF983066 BFJ983066 AVN983066 ALR983066 ABV983066 RZ983066 ID983066 E983066 WUP917530 WKT917530 WAX917530 VRB917530 VHF917530 UXJ917530 UNN917530 UDR917530 TTV917530 TJZ917530 TAD917530 SQH917530 SGL917530 RWP917530 RMT917530 RCX917530 QTB917530 QJF917530 PZJ917530 PPN917530 PFR917530 OVV917530 OLZ917530 OCD917530 NSH917530 NIL917530 MYP917530 MOT917530 MEX917530 LVB917530 LLF917530 LBJ917530 KRN917530 KHR917530 JXV917530 JNZ917530 JED917530 IUH917530 IKL917530 IAP917530 HQT917530 HGX917530 GXB917530 GNF917530 GDJ917530 FTN917530 FJR917530 EZV917530 EPZ917530 EGD917530 DWH917530 DML917530 DCP917530 CST917530 CIX917530 BZB917530 BPF917530 BFJ917530 AVN917530 ALR917530 ABV917530 RZ917530 ID917530 E917530 WUP851994 WKT851994 WAX851994 VRB851994 VHF851994 UXJ851994 UNN851994 UDR851994 TTV851994 TJZ851994 TAD851994 SQH851994 SGL851994 RWP851994 RMT851994 RCX851994 QTB851994 QJF851994 PZJ851994 PPN851994 PFR851994 OVV851994 OLZ851994 OCD851994 NSH851994 NIL851994 MYP851994 MOT851994 MEX851994 LVB851994 LLF851994 LBJ851994 KRN851994 KHR851994 JXV851994 JNZ851994 JED851994 IUH851994 IKL851994 IAP851994 HQT851994 HGX851994 GXB851994 GNF851994 GDJ851994 FTN851994 FJR851994 EZV851994 EPZ851994 EGD851994 DWH851994 DML851994 DCP851994 CST851994 CIX851994 BZB851994 BPF851994 BFJ851994 AVN851994 ALR851994 ABV851994 RZ851994 ID851994 E851994 WUP786458 WKT786458 WAX786458 VRB786458 VHF786458 UXJ786458 UNN786458 UDR786458 TTV786458 TJZ786458 TAD786458 SQH786458 SGL786458 RWP786458 RMT786458 RCX786458 QTB786458 QJF786458 PZJ786458 PPN786458 PFR786458 OVV786458 OLZ786458 OCD786458 NSH786458 NIL786458 MYP786458 MOT786458 MEX786458 LVB786458 LLF786458 LBJ786458 KRN786458 KHR786458 JXV786458 JNZ786458 JED786458 IUH786458 IKL786458 IAP786458 HQT786458 HGX786458 GXB786458 GNF786458 GDJ786458 FTN786458 FJR786458 EZV786458 EPZ786458 EGD786458 DWH786458 DML786458 DCP786458 CST786458 CIX786458 BZB786458 BPF786458 BFJ786458 AVN786458 ALR786458 ABV786458 RZ786458 ID786458 E786458 WUP720922 WKT720922 WAX720922 VRB720922 VHF720922 UXJ720922 UNN720922 UDR720922 TTV720922 TJZ720922 TAD720922 SQH720922 SGL720922 RWP720922 RMT720922 RCX720922 QTB720922 QJF720922 PZJ720922 PPN720922 PFR720922 OVV720922 OLZ720922 OCD720922 NSH720922 NIL720922 MYP720922 MOT720922 MEX720922 LVB720922 LLF720922 LBJ720922 KRN720922 KHR720922 JXV720922 JNZ720922 JED720922 IUH720922 IKL720922 IAP720922 HQT720922 HGX720922 GXB720922 GNF720922 GDJ720922 FTN720922 FJR720922 EZV720922 EPZ720922 EGD720922 DWH720922 DML720922 DCP720922 CST720922 CIX720922 BZB720922 BPF720922 BFJ720922 AVN720922 ALR720922 ABV720922 RZ720922 ID720922 E720922 WUP655386 WKT655386 WAX655386 VRB655386 VHF655386 UXJ655386 UNN655386 UDR655386 TTV655386 TJZ655386 TAD655386 SQH655386 SGL655386 RWP655386 RMT655386 RCX655386 QTB655386 QJF655386 PZJ655386 PPN655386 PFR655386 OVV655386 OLZ655386 OCD655386 NSH655386 NIL655386 MYP655386 MOT655386 MEX655386 LVB655386 LLF655386 LBJ655386 KRN655386 KHR655386 JXV655386 JNZ655386 JED655386 IUH655386 IKL655386 IAP655386 HQT655386 HGX655386 GXB655386 GNF655386 GDJ655386 FTN655386 FJR655386 EZV655386 EPZ655386 EGD655386 DWH655386 DML655386 DCP655386 CST655386 CIX655386 BZB655386 BPF655386 BFJ655386 AVN655386 ALR655386 ABV655386 RZ655386 ID655386 E655386 WUP589850 WKT589850 WAX589850 VRB589850 VHF589850 UXJ589850 UNN589850 UDR589850 TTV589850 TJZ589850 TAD589850 SQH589850 SGL589850 RWP589850 RMT589850 RCX589850 QTB589850 QJF589850 PZJ589850 PPN589850 PFR589850 OVV589850 OLZ589850 OCD589850 NSH589850 NIL589850 MYP589850 MOT589850 MEX589850 LVB589850 LLF589850 LBJ589850 KRN589850 KHR589850 JXV589850 JNZ589850 JED589850 IUH589850 IKL589850 IAP589850 HQT589850 HGX589850 GXB589850 GNF589850 GDJ589850 FTN589850 FJR589850 EZV589850 EPZ589850 EGD589850 DWH589850 DML589850 DCP589850 CST589850 CIX589850 BZB589850 BPF589850 BFJ589850 AVN589850 ALR589850 ABV589850 RZ589850 ID589850 E589850 WUP524314 WKT524314 WAX524314 VRB524314 VHF524314 UXJ524314 UNN524314 UDR524314 TTV524314 TJZ524314 TAD524314 SQH524314 SGL524314 RWP524314 RMT524314 RCX524314 QTB524314 QJF524314 PZJ524314 PPN524314 PFR524314 OVV524314 OLZ524314 OCD524314 NSH524314 NIL524314 MYP524314 MOT524314 MEX524314 LVB524314 LLF524314 LBJ524314 KRN524314 KHR524314 JXV524314 JNZ524314 JED524314 IUH524314 IKL524314 IAP524314 HQT524314 HGX524314 GXB524314 GNF524314 GDJ524314 FTN524314 FJR524314 EZV524314 EPZ524314 EGD524314 DWH524314 DML524314 DCP524314 CST524314 CIX524314 BZB524314 BPF524314 BFJ524314 AVN524314 ALR524314 ABV524314 RZ524314 ID524314 E524314 WUP458778 WKT458778 WAX458778 VRB458778 VHF458778 UXJ458778 UNN458778 UDR458778 TTV458778 TJZ458778 TAD458778 SQH458778 SGL458778 RWP458778 RMT458778 RCX458778 QTB458778 QJF458778 PZJ458778 PPN458778 PFR458778 OVV458778 OLZ458778 OCD458778 NSH458778 NIL458778 MYP458778 MOT458778 MEX458778 LVB458778 LLF458778 LBJ458778 KRN458778 KHR458778 JXV458778 JNZ458778 JED458778 IUH458778 IKL458778 IAP458778 HQT458778 HGX458778 GXB458778 GNF458778 GDJ458778 FTN458778 FJR458778 EZV458778 EPZ458778 EGD458778 DWH458778 DML458778 DCP458778 CST458778 CIX458778 BZB458778 BPF458778 BFJ458778 AVN458778 ALR458778 ABV458778 RZ458778 ID458778 E458778 WUP393242 WKT393242 WAX393242 VRB393242 VHF393242 UXJ393242 UNN393242 UDR393242 TTV393242 TJZ393242 TAD393242 SQH393242 SGL393242 RWP393242 RMT393242 RCX393242 QTB393242 QJF393242 PZJ393242 PPN393242 PFR393242 OVV393242 OLZ393242 OCD393242 NSH393242 NIL393242 MYP393242 MOT393242 MEX393242 LVB393242 LLF393242 LBJ393242 KRN393242 KHR393242 JXV393242 JNZ393242 JED393242 IUH393242 IKL393242 IAP393242 HQT393242 HGX393242 GXB393242 GNF393242 GDJ393242 FTN393242 FJR393242 EZV393242 EPZ393242 EGD393242 DWH393242 DML393242 DCP393242 CST393242 CIX393242 BZB393242 BPF393242 BFJ393242 AVN393242 ALR393242 ABV393242 RZ393242 ID393242 E393242 WUP327706 WKT327706 WAX327706 VRB327706 VHF327706 UXJ327706 UNN327706 UDR327706 TTV327706 TJZ327706 TAD327706 SQH327706 SGL327706 RWP327706 RMT327706 RCX327706 QTB327706 QJF327706 PZJ327706 PPN327706 PFR327706 OVV327706 OLZ327706 OCD327706 NSH327706 NIL327706 MYP327706 MOT327706 MEX327706 LVB327706 LLF327706 LBJ327706 KRN327706 KHR327706 JXV327706 JNZ327706 JED327706 IUH327706 IKL327706 IAP327706 HQT327706 HGX327706 GXB327706 GNF327706 GDJ327706 FTN327706 FJR327706 EZV327706 EPZ327706 EGD327706 DWH327706 DML327706 DCP327706 CST327706 CIX327706 BZB327706 BPF327706 BFJ327706 AVN327706 ALR327706 ABV327706 RZ327706 ID327706 E327706 WUP262170 WKT262170 WAX262170 VRB262170 VHF262170 UXJ262170 UNN262170 UDR262170 TTV262170 TJZ262170 TAD262170 SQH262170 SGL262170 RWP262170 RMT262170 RCX262170 QTB262170 QJF262170 PZJ262170 PPN262170 PFR262170 OVV262170 OLZ262170 OCD262170 NSH262170 NIL262170 MYP262170 MOT262170 MEX262170 LVB262170 LLF262170 LBJ262170 KRN262170 KHR262170 JXV262170 JNZ262170 JED262170 IUH262170 IKL262170 IAP262170 HQT262170 HGX262170 GXB262170 GNF262170 GDJ262170 FTN262170 FJR262170 EZV262170 EPZ262170 EGD262170 DWH262170 DML262170 DCP262170 CST262170 CIX262170 BZB262170 BPF262170 BFJ262170 AVN262170 ALR262170 ABV262170 RZ262170 ID262170 E262170 WUP196634 WKT196634 WAX196634 VRB196634 VHF196634 UXJ196634 UNN196634 UDR196634 TTV196634 TJZ196634 TAD196634 SQH196634 SGL196634 RWP196634 RMT196634 RCX196634 QTB196634 QJF196634 PZJ196634 PPN196634 PFR196634 OVV196634 OLZ196634 OCD196634 NSH196634 NIL196634 MYP196634 MOT196634 MEX196634 LVB196634 LLF196634 LBJ196634 KRN196634 KHR196634 JXV196634 JNZ196634 JED196634 IUH196634 IKL196634 IAP196634 HQT196634 HGX196634 GXB196634 GNF196634 GDJ196634 FTN196634 FJR196634 EZV196634 EPZ196634 EGD196634 DWH196634 DML196634 DCP196634 CST196634 CIX196634 BZB196634 BPF196634 BFJ196634 AVN196634 ALR196634 ABV196634 RZ196634 ID196634 E196634 WUP131098 WKT131098 WAX131098 VRB131098 VHF131098 UXJ131098 UNN131098 UDR131098 TTV131098 TJZ131098 TAD131098 SQH131098 SGL131098 RWP131098 RMT131098 RCX131098 QTB131098 QJF131098 PZJ131098 PPN131098 PFR131098 OVV131098 OLZ131098 OCD131098 NSH131098 NIL131098 MYP131098 MOT131098 MEX131098 LVB131098 LLF131098 LBJ131098 KRN131098 KHR131098 JXV131098 JNZ131098 JED131098 IUH131098 IKL131098 IAP131098 HQT131098 HGX131098 GXB131098 GNF131098 GDJ131098 FTN131098 FJR131098 EZV131098 EPZ131098 EGD131098 DWH131098 DML131098 DCP131098 CST131098 CIX131098 BZB131098 BPF131098 BFJ131098 AVN131098 ALR131098 ABV131098 RZ131098 ID131098 E131098 WUP65562 WKT65562 WAX65562 VRB65562 VHF65562 UXJ65562 UNN65562 UDR65562 TTV65562 TJZ65562 TAD65562 SQH65562 SGL65562 RWP65562 RMT65562 RCX65562 QTB65562 QJF65562 PZJ65562 PPN65562 PFR65562 OVV65562 OLZ65562 OCD65562 NSH65562 NIL65562 MYP65562 MOT65562 MEX65562 LVB65562 LLF65562 LBJ65562 KRN65562 KHR65562 JXV65562 JNZ65562 JED65562 IUH65562 IKL65562 IAP65562 HQT65562 HGX65562 GXB65562 GNF65562 GDJ65562 FTN65562 FJR65562 EZV65562 EPZ65562 EGD65562 DWH65562 DML65562 DCP65562 CST65562 CIX65562 BZB65562 BPF65562 BFJ65562 AVN65562 ALR65562 ABV65562 RZ65562 ID65562 E65562 WUP3:WUP4 WKT3:WKT4 WAX3:WAX4 VRB3:VRB4 VHF3:VHF4 UXJ3:UXJ4 UNN3:UNN4 UDR3:UDR4 TTV3:TTV4 TJZ3:TJZ4 TAD3:TAD4 SQH3:SQH4 SGL3:SGL4 RWP3:RWP4 RMT3:RMT4 RCX3:RCX4 QTB3:QTB4 QJF3:QJF4 PZJ3:PZJ4 PPN3:PPN4 PFR3:PFR4 OVV3:OVV4 OLZ3:OLZ4 OCD3:OCD4 NSH3:NSH4 NIL3:NIL4 MYP3:MYP4 MOT3:MOT4 MEX3:MEX4 LVB3:LVB4 LLF3:LLF4 LBJ3:LBJ4 KRN3:KRN4 KHR3:KHR4 JXV3:JXV4 JNZ3:JNZ4 JED3:JED4 IUH3:IUH4 IKL3:IKL4 IAP3:IAP4 HQT3:HQT4 HGX3:HGX4 GXB3:GXB4 GNF3:GNF4 GDJ3:GDJ4 FTN3:FTN4 FJR3:FJR4 EZV3:EZV4 EPZ3:EPZ4 EGD3:EGD4 DWH3:DWH4 DML3:DML4 DCP3:DCP4 CST3:CST4 CIX3:CIX4 BZB3:BZB4 BPF3:BPF4 BFJ3:BFJ4 AVN3:AVN4 ALR3:ALR4 ABV3:ABV4 RZ3:RZ4 ID3:ID4 WUP26:WUP27 WKT26:WKT27 WAX26:WAX27 VRB26:VRB27 VHF26:VHF27 UXJ26:UXJ27 UNN26:UNN27 UDR26:UDR27 TTV26:TTV27 TJZ26:TJZ27 TAD26:TAD27 SQH26:SQH27 SGL26:SGL27 RWP26:RWP27 RMT26:RMT27 RCX26:RCX27 QTB26:QTB27 QJF26:QJF27 PZJ26:PZJ27 PPN26:PPN27 PFR26:PFR27 OVV26:OVV27 OLZ26:OLZ27 OCD26:OCD27 NSH26:NSH27 NIL26:NIL27 MYP26:MYP27 MOT26:MOT27 MEX26:MEX27 LVB26:LVB27 LLF26:LLF27 LBJ26:LBJ27 KRN26:KRN27 KHR26:KHR27 JXV26:JXV27 JNZ26:JNZ27 JED26:JED27 IUH26:IUH27 IKL26:IKL27 IAP26:IAP27 HQT26:HQT27 HGX26:HGX27 GXB26:GXB27 GNF26:GNF27 GDJ26:GDJ27 FTN26:FTN27 FJR26:FJR27 EZV26:EZV27 EPZ26:EPZ27 EGD26:EGD27 DWH26:DWH27 DML26:DML27 DCP26:DCP27 CST26:CST27 CIX26:CIX27 BZB26:BZB27 BPF26:BPF27 BFJ26:BFJ27 AVN26:AVN27 ALR26:ALR27 ABV26:ABV27 RZ26:RZ27 ID26:ID27 WUP50 WKT50 WAX50 VRB50 VHF50 UXJ50 UNN50 UDR50 TTV50 TJZ50 TAD50 SQH50 SGL50 RWP50 RMT50 RCX50 QTB50 QJF50 PZJ50 PPN50 PFR50 OVV50 OLZ50 OCD50 NSH50 NIL50 MYP50 MOT50 MEX50 LVB50 LLF50 LBJ50 KRN50 KHR50 JXV50 JNZ50 JED50 IUH50 IKL50 IAP50 HQT50 HGX50 GXB50 GNF50 GDJ50 FTN50 FJR50 EZV50 EPZ50 EGD50 DWH50 DML50 DCP50 CST50 CIX50 BZB50 BPF50 BFJ50 AVN50 ALR50 ABV50 RZ50 ID50" xr:uid="{2CCAB19E-29EA-46C9-B9EC-51D636D9E58E}">
      <formula1>$H$16:$I$16</formula1>
    </dataValidation>
    <dataValidation type="list" allowBlank="1" showInputMessage="1" showErrorMessage="1" sqref="WUN983066:WUO983066 IB26:IC27 RX26:RY27 ABT26:ABU27 ALP26:ALQ27 AVL26:AVM27 BFH26:BFI27 BPD26:BPE27 BYZ26:BZA27 CIV26:CIW27 CSR26:CSS27 DCN26:DCO27 DMJ26:DMK27 DWF26:DWG27 EGB26:EGC27 EPX26:EPY27 EZT26:EZU27 FJP26:FJQ27 FTL26:FTM27 GDH26:GDI27 GND26:GNE27 GWZ26:GXA27 HGV26:HGW27 HQR26:HQS27 IAN26:IAO27 IKJ26:IKK27 IUF26:IUG27 JEB26:JEC27 JNX26:JNY27 JXT26:JXU27 KHP26:KHQ27 KRL26:KRM27 LBH26:LBI27 LLD26:LLE27 LUZ26:LVA27 MEV26:MEW27 MOR26:MOS27 MYN26:MYO27 NIJ26:NIK27 NSF26:NSG27 OCB26:OCC27 OLX26:OLY27 OVT26:OVU27 PFP26:PFQ27 PPL26:PPM27 PZH26:PZI27 QJD26:QJE27 QSZ26:QTA27 RCV26:RCW27 RMR26:RMS27 RWN26:RWO27 SGJ26:SGK27 SQF26:SQG27 TAB26:TAC27 TJX26:TJY27 TTT26:TTU27 UDP26:UDQ27 UNL26:UNM27 UXH26:UXI27 VHD26:VHE27 VQZ26:VRA27 WAV26:WAW27 WKR26:WKS27 WUN26:WUO27 IB3:IC4 RX3:RY4 ABT3:ABU4 ALP3:ALQ4 AVL3:AVM4 BFH3:BFI4 BPD3:BPE4 BYZ3:BZA4 CIV3:CIW4 CSR3:CSS4 DCN3:DCO4 DMJ3:DMK4 DWF3:DWG4 EGB3:EGC4 EPX3:EPY4 EZT3:EZU4 FJP3:FJQ4 FTL3:FTM4 GDH3:GDI4 GND3:GNE4 GWZ3:GXA4 HGV3:HGW4 HQR3:HQS4 IAN3:IAO4 IKJ3:IKK4 IUF3:IUG4 JEB3:JEC4 JNX3:JNY4 JXT3:JXU4 KHP3:KHQ4 KRL3:KRM4 LBH3:LBI4 LLD3:LLE4 LUZ3:LVA4 MEV3:MEW4 MOR3:MOS4 MYN3:MYO4 NIJ3:NIK4 NSF3:NSG4 OCB3:OCC4 OLX3:OLY4 OVT3:OVU4 PFP3:PFQ4 PPL3:PPM4 PZH3:PZI4 QJD3:QJE4 QSZ3:QTA4 RCV3:RCW4 RMR3:RMS4 RWN3:RWO4 SGJ3:SGK4 SQF3:SQG4 TAB3:TAC4 TJX3:TJY4 TTT3:TTU4 UDP3:UDQ4 UNL3:UNM4 UXH3:UXI4 VHD3:VHE4 VQZ3:VRA4 WAV3:WAW4 WKR3:WKS4 WUN3:WUO4 C65562:D65562 IB65562:IC65562 RX65562:RY65562 ABT65562:ABU65562 ALP65562:ALQ65562 AVL65562:AVM65562 BFH65562:BFI65562 BPD65562:BPE65562 BYZ65562:BZA65562 CIV65562:CIW65562 CSR65562:CSS65562 DCN65562:DCO65562 DMJ65562:DMK65562 DWF65562:DWG65562 EGB65562:EGC65562 EPX65562:EPY65562 EZT65562:EZU65562 FJP65562:FJQ65562 FTL65562:FTM65562 GDH65562:GDI65562 GND65562:GNE65562 GWZ65562:GXA65562 HGV65562:HGW65562 HQR65562:HQS65562 IAN65562:IAO65562 IKJ65562:IKK65562 IUF65562:IUG65562 JEB65562:JEC65562 JNX65562:JNY65562 JXT65562:JXU65562 KHP65562:KHQ65562 KRL65562:KRM65562 LBH65562:LBI65562 LLD65562:LLE65562 LUZ65562:LVA65562 MEV65562:MEW65562 MOR65562:MOS65562 MYN65562:MYO65562 NIJ65562:NIK65562 NSF65562:NSG65562 OCB65562:OCC65562 OLX65562:OLY65562 OVT65562:OVU65562 PFP65562:PFQ65562 PPL65562:PPM65562 PZH65562:PZI65562 QJD65562:QJE65562 QSZ65562:QTA65562 RCV65562:RCW65562 RMR65562:RMS65562 RWN65562:RWO65562 SGJ65562:SGK65562 SQF65562:SQG65562 TAB65562:TAC65562 TJX65562:TJY65562 TTT65562:TTU65562 UDP65562:UDQ65562 UNL65562:UNM65562 UXH65562:UXI65562 VHD65562:VHE65562 VQZ65562:VRA65562 WAV65562:WAW65562 WKR65562:WKS65562 WUN65562:WUO65562 C131098:D131098 IB131098:IC131098 RX131098:RY131098 ABT131098:ABU131098 ALP131098:ALQ131098 AVL131098:AVM131098 BFH131098:BFI131098 BPD131098:BPE131098 BYZ131098:BZA131098 CIV131098:CIW131098 CSR131098:CSS131098 DCN131098:DCO131098 DMJ131098:DMK131098 DWF131098:DWG131098 EGB131098:EGC131098 EPX131098:EPY131098 EZT131098:EZU131098 FJP131098:FJQ131098 FTL131098:FTM131098 GDH131098:GDI131098 GND131098:GNE131098 GWZ131098:GXA131098 HGV131098:HGW131098 HQR131098:HQS131098 IAN131098:IAO131098 IKJ131098:IKK131098 IUF131098:IUG131098 JEB131098:JEC131098 JNX131098:JNY131098 JXT131098:JXU131098 KHP131098:KHQ131098 KRL131098:KRM131098 LBH131098:LBI131098 LLD131098:LLE131098 LUZ131098:LVA131098 MEV131098:MEW131098 MOR131098:MOS131098 MYN131098:MYO131098 NIJ131098:NIK131098 NSF131098:NSG131098 OCB131098:OCC131098 OLX131098:OLY131098 OVT131098:OVU131098 PFP131098:PFQ131098 PPL131098:PPM131098 PZH131098:PZI131098 QJD131098:QJE131098 QSZ131098:QTA131098 RCV131098:RCW131098 RMR131098:RMS131098 RWN131098:RWO131098 SGJ131098:SGK131098 SQF131098:SQG131098 TAB131098:TAC131098 TJX131098:TJY131098 TTT131098:TTU131098 UDP131098:UDQ131098 UNL131098:UNM131098 UXH131098:UXI131098 VHD131098:VHE131098 VQZ131098:VRA131098 WAV131098:WAW131098 WKR131098:WKS131098 WUN131098:WUO131098 C196634:D196634 IB196634:IC196634 RX196634:RY196634 ABT196634:ABU196634 ALP196634:ALQ196634 AVL196634:AVM196634 BFH196634:BFI196634 BPD196634:BPE196634 BYZ196634:BZA196634 CIV196634:CIW196634 CSR196634:CSS196634 DCN196634:DCO196634 DMJ196634:DMK196634 DWF196634:DWG196634 EGB196634:EGC196634 EPX196634:EPY196634 EZT196634:EZU196634 FJP196634:FJQ196634 FTL196634:FTM196634 GDH196634:GDI196634 GND196634:GNE196634 GWZ196634:GXA196634 HGV196634:HGW196634 HQR196634:HQS196634 IAN196634:IAO196634 IKJ196634:IKK196634 IUF196634:IUG196634 JEB196634:JEC196634 JNX196634:JNY196634 JXT196634:JXU196634 KHP196634:KHQ196634 KRL196634:KRM196634 LBH196634:LBI196634 LLD196634:LLE196634 LUZ196634:LVA196634 MEV196634:MEW196634 MOR196634:MOS196634 MYN196634:MYO196634 NIJ196634:NIK196634 NSF196634:NSG196634 OCB196634:OCC196634 OLX196634:OLY196634 OVT196634:OVU196634 PFP196634:PFQ196634 PPL196634:PPM196634 PZH196634:PZI196634 QJD196634:QJE196634 QSZ196634:QTA196634 RCV196634:RCW196634 RMR196634:RMS196634 RWN196634:RWO196634 SGJ196634:SGK196634 SQF196634:SQG196634 TAB196634:TAC196634 TJX196634:TJY196634 TTT196634:TTU196634 UDP196634:UDQ196634 UNL196634:UNM196634 UXH196634:UXI196634 VHD196634:VHE196634 VQZ196634:VRA196634 WAV196634:WAW196634 WKR196634:WKS196634 WUN196634:WUO196634 C262170:D262170 IB262170:IC262170 RX262170:RY262170 ABT262170:ABU262170 ALP262170:ALQ262170 AVL262170:AVM262170 BFH262170:BFI262170 BPD262170:BPE262170 BYZ262170:BZA262170 CIV262170:CIW262170 CSR262170:CSS262170 DCN262170:DCO262170 DMJ262170:DMK262170 DWF262170:DWG262170 EGB262170:EGC262170 EPX262170:EPY262170 EZT262170:EZU262170 FJP262170:FJQ262170 FTL262170:FTM262170 GDH262170:GDI262170 GND262170:GNE262170 GWZ262170:GXA262170 HGV262170:HGW262170 HQR262170:HQS262170 IAN262170:IAO262170 IKJ262170:IKK262170 IUF262170:IUG262170 JEB262170:JEC262170 JNX262170:JNY262170 JXT262170:JXU262170 KHP262170:KHQ262170 KRL262170:KRM262170 LBH262170:LBI262170 LLD262170:LLE262170 LUZ262170:LVA262170 MEV262170:MEW262170 MOR262170:MOS262170 MYN262170:MYO262170 NIJ262170:NIK262170 NSF262170:NSG262170 OCB262170:OCC262170 OLX262170:OLY262170 OVT262170:OVU262170 PFP262170:PFQ262170 PPL262170:PPM262170 PZH262170:PZI262170 QJD262170:QJE262170 QSZ262170:QTA262170 RCV262170:RCW262170 RMR262170:RMS262170 RWN262170:RWO262170 SGJ262170:SGK262170 SQF262170:SQG262170 TAB262170:TAC262170 TJX262170:TJY262170 TTT262170:TTU262170 UDP262170:UDQ262170 UNL262170:UNM262170 UXH262170:UXI262170 VHD262170:VHE262170 VQZ262170:VRA262170 WAV262170:WAW262170 WKR262170:WKS262170 WUN262170:WUO262170 C327706:D327706 IB327706:IC327706 RX327706:RY327706 ABT327706:ABU327706 ALP327706:ALQ327706 AVL327706:AVM327706 BFH327706:BFI327706 BPD327706:BPE327706 BYZ327706:BZA327706 CIV327706:CIW327706 CSR327706:CSS327706 DCN327706:DCO327706 DMJ327706:DMK327706 DWF327706:DWG327706 EGB327706:EGC327706 EPX327706:EPY327706 EZT327706:EZU327706 FJP327706:FJQ327706 FTL327706:FTM327706 GDH327706:GDI327706 GND327706:GNE327706 GWZ327706:GXA327706 HGV327706:HGW327706 HQR327706:HQS327706 IAN327706:IAO327706 IKJ327706:IKK327706 IUF327706:IUG327706 JEB327706:JEC327706 JNX327706:JNY327706 JXT327706:JXU327706 KHP327706:KHQ327706 KRL327706:KRM327706 LBH327706:LBI327706 LLD327706:LLE327706 LUZ327706:LVA327706 MEV327706:MEW327706 MOR327706:MOS327706 MYN327706:MYO327706 NIJ327706:NIK327706 NSF327706:NSG327706 OCB327706:OCC327706 OLX327706:OLY327706 OVT327706:OVU327706 PFP327706:PFQ327706 PPL327706:PPM327706 PZH327706:PZI327706 QJD327706:QJE327706 QSZ327706:QTA327706 RCV327706:RCW327706 RMR327706:RMS327706 RWN327706:RWO327706 SGJ327706:SGK327706 SQF327706:SQG327706 TAB327706:TAC327706 TJX327706:TJY327706 TTT327706:TTU327706 UDP327706:UDQ327706 UNL327706:UNM327706 UXH327706:UXI327706 VHD327706:VHE327706 VQZ327706:VRA327706 WAV327706:WAW327706 WKR327706:WKS327706 WUN327706:WUO327706 C393242:D393242 IB393242:IC393242 RX393242:RY393242 ABT393242:ABU393242 ALP393242:ALQ393242 AVL393242:AVM393242 BFH393242:BFI393242 BPD393242:BPE393242 BYZ393242:BZA393242 CIV393242:CIW393242 CSR393242:CSS393242 DCN393242:DCO393242 DMJ393242:DMK393242 DWF393242:DWG393242 EGB393242:EGC393242 EPX393242:EPY393242 EZT393242:EZU393242 FJP393242:FJQ393242 FTL393242:FTM393242 GDH393242:GDI393242 GND393242:GNE393242 GWZ393242:GXA393242 HGV393242:HGW393242 HQR393242:HQS393242 IAN393242:IAO393242 IKJ393242:IKK393242 IUF393242:IUG393242 JEB393242:JEC393242 JNX393242:JNY393242 JXT393242:JXU393242 KHP393242:KHQ393242 KRL393242:KRM393242 LBH393242:LBI393242 LLD393242:LLE393242 LUZ393242:LVA393242 MEV393242:MEW393242 MOR393242:MOS393242 MYN393242:MYO393242 NIJ393242:NIK393242 NSF393242:NSG393242 OCB393242:OCC393242 OLX393242:OLY393242 OVT393242:OVU393242 PFP393242:PFQ393242 PPL393242:PPM393242 PZH393242:PZI393242 QJD393242:QJE393242 QSZ393242:QTA393242 RCV393242:RCW393242 RMR393242:RMS393242 RWN393242:RWO393242 SGJ393242:SGK393242 SQF393242:SQG393242 TAB393242:TAC393242 TJX393242:TJY393242 TTT393242:TTU393242 UDP393242:UDQ393242 UNL393242:UNM393242 UXH393242:UXI393242 VHD393242:VHE393242 VQZ393242:VRA393242 WAV393242:WAW393242 WKR393242:WKS393242 WUN393242:WUO393242 C458778:D458778 IB458778:IC458778 RX458778:RY458778 ABT458778:ABU458778 ALP458778:ALQ458778 AVL458778:AVM458778 BFH458778:BFI458778 BPD458778:BPE458778 BYZ458778:BZA458778 CIV458778:CIW458778 CSR458778:CSS458778 DCN458778:DCO458778 DMJ458778:DMK458778 DWF458778:DWG458778 EGB458778:EGC458778 EPX458778:EPY458778 EZT458778:EZU458778 FJP458778:FJQ458778 FTL458778:FTM458778 GDH458778:GDI458778 GND458778:GNE458778 GWZ458778:GXA458778 HGV458778:HGW458778 HQR458778:HQS458778 IAN458778:IAO458778 IKJ458778:IKK458778 IUF458778:IUG458778 JEB458778:JEC458778 JNX458778:JNY458778 JXT458778:JXU458778 KHP458778:KHQ458778 KRL458778:KRM458778 LBH458778:LBI458778 LLD458778:LLE458778 LUZ458778:LVA458778 MEV458778:MEW458778 MOR458778:MOS458778 MYN458778:MYO458778 NIJ458778:NIK458778 NSF458778:NSG458778 OCB458778:OCC458778 OLX458778:OLY458778 OVT458778:OVU458778 PFP458778:PFQ458778 PPL458778:PPM458778 PZH458778:PZI458778 QJD458778:QJE458778 QSZ458778:QTA458778 RCV458778:RCW458778 RMR458778:RMS458778 RWN458778:RWO458778 SGJ458778:SGK458778 SQF458778:SQG458778 TAB458778:TAC458778 TJX458778:TJY458778 TTT458778:TTU458778 UDP458778:UDQ458778 UNL458778:UNM458778 UXH458778:UXI458778 VHD458778:VHE458778 VQZ458778:VRA458778 WAV458778:WAW458778 WKR458778:WKS458778 WUN458778:WUO458778 C524314:D524314 IB524314:IC524314 RX524314:RY524314 ABT524314:ABU524314 ALP524314:ALQ524314 AVL524314:AVM524314 BFH524314:BFI524314 BPD524314:BPE524314 BYZ524314:BZA524314 CIV524314:CIW524314 CSR524314:CSS524314 DCN524314:DCO524314 DMJ524314:DMK524314 DWF524314:DWG524314 EGB524314:EGC524314 EPX524314:EPY524314 EZT524314:EZU524314 FJP524314:FJQ524314 FTL524314:FTM524314 GDH524314:GDI524314 GND524314:GNE524314 GWZ524314:GXA524314 HGV524314:HGW524314 HQR524314:HQS524314 IAN524314:IAO524314 IKJ524314:IKK524314 IUF524314:IUG524314 JEB524314:JEC524314 JNX524314:JNY524314 JXT524314:JXU524314 KHP524314:KHQ524314 KRL524314:KRM524314 LBH524314:LBI524314 LLD524314:LLE524314 LUZ524314:LVA524314 MEV524314:MEW524314 MOR524314:MOS524314 MYN524314:MYO524314 NIJ524314:NIK524314 NSF524314:NSG524314 OCB524314:OCC524314 OLX524314:OLY524314 OVT524314:OVU524314 PFP524314:PFQ524314 PPL524314:PPM524314 PZH524314:PZI524314 QJD524314:QJE524314 QSZ524314:QTA524314 RCV524314:RCW524314 RMR524314:RMS524314 RWN524314:RWO524314 SGJ524314:SGK524314 SQF524314:SQG524314 TAB524314:TAC524314 TJX524314:TJY524314 TTT524314:TTU524314 UDP524314:UDQ524314 UNL524314:UNM524314 UXH524314:UXI524314 VHD524314:VHE524314 VQZ524314:VRA524314 WAV524314:WAW524314 WKR524314:WKS524314 WUN524314:WUO524314 C589850:D589850 IB589850:IC589850 RX589850:RY589850 ABT589850:ABU589850 ALP589850:ALQ589850 AVL589850:AVM589850 BFH589850:BFI589850 BPD589850:BPE589850 BYZ589850:BZA589850 CIV589850:CIW589850 CSR589850:CSS589850 DCN589850:DCO589850 DMJ589850:DMK589850 DWF589850:DWG589850 EGB589850:EGC589850 EPX589850:EPY589850 EZT589850:EZU589850 FJP589850:FJQ589850 FTL589850:FTM589850 GDH589850:GDI589850 GND589850:GNE589850 GWZ589850:GXA589850 HGV589850:HGW589850 HQR589850:HQS589850 IAN589850:IAO589850 IKJ589850:IKK589850 IUF589850:IUG589850 JEB589850:JEC589850 JNX589850:JNY589850 JXT589850:JXU589850 KHP589850:KHQ589850 KRL589850:KRM589850 LBH589850:LBI589850 LLD589850:LLE589850 LUZ589850:LVA589850 MEV589850:MEW589850 MOR589850:MOS589850 MYN589850:MYO589850 NIJ589850:NIK589850 NSF589850:NSG589850 OCB589850:OCC589850 OLX589850:OLY589850 OVT589850:OVU589850 PFP589850:PFQ589850 PPL589850:PPM589850 PZH589850:PZI589850 QJD589850:QJE589850 QSZ589850:QTA589850 RCV589850:RCW589850 RMR589850:RMS589850 RWN589850:RWO589850 SGJ589850:SGK589850 SQF589850:SQG589850 TAB589850:TAC589850 TJX589850:TJY589850 TTT589850:TTU589850 UDP589850:UDQ589850 UNL589850:UNM589850 UXH589850:UXI589850 VHD589850:VHE589850 VQZ589850:VRA589850 WAV589850:WAW589850 WKR589850:WKS589850 WUN589850:WUO589850 C655386:D655386 IB655386:IC655386 RX655386:RY655386 ABT655386:ABU655386 ALP655386:ALQ655386 AVL655386:AVM655386 BFH655386:BFI655386 BPD655386:BPE655386 BYZ655386:BZA655386 CIV655386:CIW655386 CSR655386:CSS655386 DCN655386:DCO655386 DMJ655386:DMK655386 DWF655386:DWG655386 EGB655386:EGC655386 EPX655386:EPY655386 EZT655386:EZU655386 FJP655386:FJQ655386 FTL655386:FTM655386 GDH655386:GDI655386 GND655386:GNE655386 GWZ655386:GXA655386 HGV655386:HGW655386 HQR655386:HQS655386 IAN655386:IAO655386 IKJ655386:IKK655386 IUF655386:IUG655386 JEB655386:JEC655386 JNX655386:JNY655386 JXT655386:JXU655386 KHP655386:KHQ655386 KRL655386:KRM655386 LBH655386:LBI655386 LLD655386:LLE655386 LUZ655386:LVA655386 MEV655386:MEW655386 MOR655386:MOS655386 MYN655386:MYO655386 NIJ655386:NIK655386 NSF655386:NSG655386 OCB655386:OCC655386 OLX655386:OLY655386 OVT655386:OVU655386 PFP655386:PFQ655386 PPL655386:PPM655386 PZH655386:PZI655386 QJD655386:QJE655386 QSZ655386:QTA655386 RCV655386:RCW655386 RMR655386:RMS655386 RWN655386:RWO655386 SGJ655386:SGK655386 SQF655386:SQG655386 TAB655386:TAC655386 TJX655386:TJY655386 TTT655386:TTU655386 UDP655386:UDQ655386 UNL655386:UNM655386 UXH655386:UXI655386 VHD655386:VHE655386 VQZ655386:VRA655386 WAV655386:WAW655386 WKR655386:WKS655386 WUN655386:WUO655386 C720922:D720922 IB720922:IC720922 RX720922:RY720922 ABT720922:ABU720922 ALP720922:ALQ720922 AVL720922:AVM720922 BFH720922:BFI720922 BPD720922:BPE720922 BYZ720922:BZA720922 CIV720922:CIW720922 CSR720922:CSS720922 DCN720922:DCO720922 DMJ720922:DMK720922 DWF720922:DWG720922 EGB720922:EGC720922 EPX720922:EPY720922 EZT720922:EZU720922 FJP720922:FJQ720922 FTL720922:FTM720922 GDH720922:GDI720922 GND720922:GNE720922 GWZ720922:GXA720922 HGV720922:HGW720922 HQR720922:HQS720922 IAN720922:IAO720922 IKJ720922:IKK720922 IUF720922:IUG720922 JEB720922:JEC720922 JNX720922:JNY720922 JXT720922:JXU720922 KHP720922:KHQ720922 KRL720922:KRM720922 LBH720922:LBI720922 LLD720922:LLE720922 LUZ720922:LVA720922 MEV720922:MEW720922 MOR720922:MOS720922 MYN720922:MYO720922 NIJ720922:NIK720922 NSF720922:NSG720922 OCB720922:OCC720922 OLX720922:OLY720922 OVT720922:OVU720922 PFP720922:PFQ720922 PPL720922:PPM720922 PZH720922:PZI720922 QJD720922:QJE720922 QSZ720922:QTA720922 RCV720922:RCW720922 RMR720922:RMS720922 RWN720922:RWO720922 SGJ720922:SGK720922 SQF720922:SQG720922 TAB720922:TAC720922 TJX720922:TJY720922 TTT720922:TTU720922 UDP720922:UDQ720922 UNL720922:UNM720922 UXH720922:UXI720922 VHD720922:VHE720922 VQZ720922:VRA720922 WAV720922:WAW720922 WKR720922:WKS720922 WUN720922:WUO720922 C786458:D786458 IB786458:IC786458 RX786458:RY786458 ABT786458:ABU786458 ALP786458:ALQ786458 AVL786458:AVM786458 BFH786458:BFI786458 BPD786458:BPE786458 BYZ786458:BZA786458 CIV786458:CIW786458 CSR786458:CSS786458 DCN786458:DCO786458 DMJ786458:DMK786458 DWF786458:DWG786458 EGB786458:EGC786458 EPX786458:EPY786458 EZT786458:EZU786458 FJP786458:FJQ786458 FTL786458:FTM786458 GDH786458:GDI786458 GND786458:GNE786458 GWZ786458:GXA786458 HGV786458:HGW786458 HQR786458:HQS786458 IAN786458:IAO786458 IKJ786458:IKK786458 IUF786458:IUG786458 JEB786458:JEC786458 JNX786458:JNY786458 JXT786458:JXU786458 KHP786458:KHQ786458 KRL786458:KRM786458 LBH786458:LBI786458 LLD786458:LLE786458 LUZ786458:LVA786458 MEV786458:MEW786458 MOR786458:MOS786458 MYN786458:MYO786458 NIJ786458:NIK786458 NSF786458:NSG786458 OCB786458:OCC786458 OLX786458:OLY786458 OVT786458:OVU786458 PFP786458:PFQ786458 PPL786458:PPM786458 PZH786458:PZI786458 QJD786458:QJE786458 QSZ786458:QTA786458 RCV786458:RCW786458 RMR786458:RMS786458 RWN786458:RWO786458 SGJ786458:SGK786458 SQF786458:SQG786458 TAB786458:TAC786458 TJX786458:TJY786458 TTT786458:TTU786458 UDP786458:UDQ786458 UNL786458:UNM786458 UXH786458:UXI786458 VHD786458:VHE786458 VQZ786458:VRA786458 WAV786458:WAW786458 WKR786458:WKS786458 WUN786458:WUO786458 C851994:D851994 IB851994:IC851994 RX851994:RY851994 ABT851994:ABU851994 ALP851994:ALQ851994 AVL851994:AVM851994 BFH851994:BFI851994 BPD851994:BPE851994 BYZ851994:BZA851994 CIV851994:CIW851994 CSR851994:CSS851994 DCN851994:DCO851994 DMJ851994:DMK851994 DWF851994:DWG851994 EGB851994:EGC851994 EPX851994:EPY851994 EZT851994:EZU851994 FJP851994:FJQ851994 FTL851994:FTM851994 GDH851994:GDI851994 GND851994:GNE851994 GWZ851994:GXA851994 HGV851994:HGW851994 HQR851994:HQS851994 IAN851994:IAO851994 IKJ851994:IKK851994 IUF851994:IUG851994 JEB851994:JEC851994 JNX851994:JNY851994 JXT851994:JXU851994 KHP851994:KHQ851994 KRL851994:KRM851994 LBH851994:LBI851994 LLD851994:LLE851994 LUZ851994:LVA851994 MEV851994:MEW851994 MOR851994:MOS851994 MYN851994:MYO851994 NIJ851994:NIK851994 NSF851994:NSG851994 OCB851994:OCC851994 OLX851994:OLY851994 OVT851994:OVU851994 PFP851994:PFQ851994 PPL851994:PPM851994 PZH851994:PZI851994 QJD851994:QJE851994 QSZ851994:QTA851994 RCV851994:RCW851994 RMR851994:RMS851994 RWN851994:RWO851994 SGJ851994:SGK851994 SQF851994:SQG851994 TAB851994:TAC851994 TJX851994:TJY851994 TTT851994:TTU851994 UDP851994:UDQ851994 UNL851994:UNM851994 UXH851994:UXI851994 VHD851994:VHE851994 VQZ851994:VRA851994 WAV851994:WAW851994 WKR851994:WKS851994 WUN851994:WUO851994 C917530:D917530 IB917530:IC917530 RX917530:RY917530 ABT917530:ABU917530 ALP917530:ALQ917530 AVL917530:AVM917530 BFH917530:BFI917530 BPD917530:BPE917530 BYZ917530:BZA917530 CIV917530:CIW917530 CSR917530:CSS917530 DCN917530:DCO917530 DMJ917530:DMK917530 DWF917530:DWG917530 EGB917530:EGC917530 EPX917530:EPY917530 EZT917530:EZU917530 FJP917530:FJQ917530 FTL917530:FTM917530 GDH917530:GDI917530 GND917530:GNE917530 GWZ917530:GXA917530 HGV917530:HGW917530 HQR917530:HQS917530 IAN917530:IAO917530 IKJ917530:IKK917530 IUF917530:IUG917530 JEB917530:JEC917530 JNX917530:JNY917530 JXT917530:JXU917530 KHP917530:KHQ917530 KRL917530:KRM917530 LBH917530:LBI917530 LLD917530:LLE917530 LUZ917530:LVA917530 MEV917530:MEW917530 MOR917530:MOS917530 MYN917530:MYO917530 NIJ917530:NIK917530 NSF917530:NSG917530 OCB917530:OCC917530 OLX917530:OLY917530 OVT917530:OVU917530 PFP917530:PFQ917530 PPL917530:PPM917530 PZH917530:PZI917530 QJD917530:QJE917530 QSZ917530:QTA917530 RCV917530:RCW917530 RMR917530:RMS917530 RWN917530:RWO917530 SGJ917530:SGK917530 SQF917530:SQG917530 TAB917530:TAC917530 TJX917530:TJY917530 TTT917530:TTU917530 UDP917530:UDQ917530 UNL917530:UNM917530 UXH917530:UXI917530 VHD917530:VHE917530 VQZ917530:VRA917530 WAV917530:WAW917530 WKR917530:WKS917530 WUN917530:WUO917530 C983066:D983066 IB983066:IC983066 RX983066:RY983066 ABT983066:ABU983066 ALP983066:ALQ983066 AVL983066:AVM983066 BFH983066:BFI983066 BPD983066:BPE983066 BYZ983066:BZA983066 CIV983066:CIW983066 CSR983066:CSS983066 DCN983066:DCO983066 DMJ983066:DMK983066 DWF983066:DWG983066 EGB983066:EGC983066 EPX983066:EPY983066 EZT983066:EZU983066 FJP983066:FJQ983066 FTL983066:FTM983066 GDH983066:GDI983066 GND983066:GNE983066 GWZ983066:GXA983066 HGV983066:HGW983066 HQR983066:HQS983066 IAN983066:IAO983066 IKJ983066:IKK983066 IUF983066:IUG983066 JEB983066:JEC983066 JNX983066:JNY983066 JXT983066:JXU983066 KHP983066:KHQ983066 KRL983066:KRM983066 LBH983066:LBI983066 LLD983066:LLE983066 LUZ983066:LVA983066 MEV983066:MEW983066 MOR983066:MOS983066 MYN983066:MYO983066 NIJ983066:NIK983066 NSF983066:NSG983066 OCB983066:OCC983066 OLX983066:OLY983066 OVT983066:OVU983066 PFP983066:PFQ983066 PPL983066:PPM983066 PZH983066:PZI983066 QJD983066:QJE983066 QSZ983066:QTA983066 RCV983066:RCW983066 RMR983066:RMS983066 RWN983066:RWO983066 SGJ983066:SGK983066 SQF983066:SQG983066 TAB983066:TAC983066 TJX983066:TJY983066 TTT983066:TTU983066 UDP983066:UDQ983066 UNL983066:UNM983066 UXH983066:UXI983066 VHD983066:VHE983066 VQZ983066:VRA983066 WAV983066:WAW983066 WKR983066:WKS983066 IB50:IC50 RX50:RY50 ABT50:ABU50 ALP50:ALQ50 AVL50:AVM50 BFH50:BFI50 BPD50:BPE50 BYZ50:BZA50 CIV50:CIW50 CSR50:CSS50 DCN50:DCO50 DMJ50:DMK50 DWF50:DWG50 EGB50:EGC50 EPX50:EPY50 EZT50:EZU50 FJP50:FJQ50 FTL50:FTM50 GDH50:GDI50 GND50:GNE50 GWZ50:GXA50 HGV50:HGW50 HQR50:HQS50 IAN50:IAO50 IKJ50:IKK50 IUF50:IUG50 JEB50:JEC50 JNX50:JNY50 JXT50:JXU50 KHP50:KHQ50 KRL50:KRM50 LBH50:LBI50 LLD50:LLE50 LUZ50:LVA50 MEV50:MEW50 MOR50:MOS50 MYN50:MYO50 NIJ50:NIK50 NSF50:NSG50 OCB50:OCC50 OLX50:OLY50 OVT50:OVU50 PFP50:PFQ50 PPL50:PPM50 PZH50:PZI50 QJD50:QJE50 QSZ50:QTA50 RCV50:RCW50 RMR50:RMS50 RWN50:RWO50 SGJ50:SGK50 SQF50:SQG50 TAB50:TAC50 TJX50:TJY50 TTT50:TTU50 UDP50:UDQ50 UNL50:UNM50 UXH50:UXI50 VHD50:VHE50 VQZ50:VRA50 WAV50:WAW50 WKR50:WKS50 WUN50:WUO50" xr:uid="{A1F9B04E-943E-4F1D-B8AA-DC6A9740F50E}">
      <formula1>#REF!</formula1>
    </dataValidation>
    <dataValidation type="list" allowBlank="1" showInputMessage="1" showErrorMessage="1" sqref="D5 D28 C51:C55" xr:uid="{0F4B6B51-EBFD-4039-9810-25936C41B9EC}">
      <formula1>"1Φ 2선식,3Φ 4선식"</formula1>
    </dataValidation>
    <dataValidation type="list" allowBlank="1" showInputMessage="1" showErrorMessage="1" sqref="B5 B28" xr:uid="{27A720CF-82A4-49BA-95FA-AD38170F56F2}">
      <formula1>"신 규,증 설"</formula1>
    </dataValidation>
    <dataValidation type="list" allowBlank="1" showInputMessage="1" showErrorMessage="1" sqref="E5 E28" xr:uid="{1A3A81CE-7FCD-4A4E-B88C-B0229DFF80B5}">
      <formula1>"지중공급,가공공급"</formula1>
    </dataValidation>
    <dataValidation type="list" allowBlank="1" showInputMessage="1" showErrorMessage="1" sqref="C5 C28" xr:uid="{C98973FD-2AAB-41BF-B9D9-F04E760E3CCD}">
      <formula1>"저 압,고 압"</formula1>
    </dataValidation>
    <dataValidation type="list" allowBlank="1" showInputMessage="1" showErrorMessage="1" sqref="IA5 WUM5 WKQ5 WAU5 VQY5 VHC5 UXG5 UNK5 UDO5 TTS5 TJW5 TAA5 SQE5 SGI5 RWM5 RMQ5 RCU5 QSY5 QJC5 PZG5 PPK5 PFO5 OVS5 OLW5 OCA5 NSE5 NII5 MYM5 MOQ5 MEU5 LUY5 LLC5 LBG5 KRK5 KHO5 JXS5 JNW5 JEA5 IUE5 IKI5 IAM5 HQQ5 HGU5 GWY5 GNC5 GDG5 FTK5 FJO5 EZS5 EPW5 EGA5 DWE5 DMI5 DCM5 CSQ5 CIU5 BYY5 BPC5 BFG5 AVK5 ALO5 ABS5 RW5 WKQ28 WAU28 VQY28 VHC28 UXG28 UNK28 UDO28 TTS28 TJW28 TAA28 SQE28 SGI28 RWM28 RMQ28 RCU28 QSY28 QJC28 PZG28 PPK28 PFO28 OVS28 OLW28 OCA28 NSE28 NII28 MYM28 MOQ28 MEU28 LUY28 LLC28 LBG28 KRK28 KHO28 JXS28 JNW28 JEA28 IUE28 IKI28 IAM28 HQQ28 HGU28 GWY28 GNC28 GDG28 FTK28 FJO28 EZS28 EPW28 EGA28 DWE28 DMI28 DCM28 CSQ28 CIU28 BYY28 BPC28 BFG28 AVK28 ALO28 ABS28 RW28 IA28 WUM28 UXG51:UXG55 UNK51:UNK55 UDO51:UDO55 TTS51:TTS55 TJW51:TJW55 TAA51:TAA55 SQE51:SQE55 SGI51:SGI55 RWM51:RWM55 RMQ51:RMQ55 RCU51:RCU55 QSY51:QSY55 QJC51:QJC55 PZG51:PZG55 PPK51:PPK55 PFO51:PFO55 OVS51:OVS55 OLW51:OLW55 OCA51:OCA55 NSE51:NSE55 NII51:NII55 MYM51:MYM55 MOQ51:MOQ55 MEU51:MEU55 LUY51:LUY55 LLC51:LLC55 LBG51:LBG55 KRK51:KRK55 KHO51:KHO55 JXS51:JXS55 JNW51:JNW55 JEA51:JEA55 IUE51:IUE55 IKI51:IKI55 IAM51:IAM55 HQQ51:HQQ55 HGU51:HGU55 GWY51:GWY55 GNC51:GNC55 GDG51:GDG55 FTK51:FTK55 FJO51:FJO55 EZS51:EZS55 EPW51:EPW55 EGA51:EGA55 DWE51:DWE55 DMI51:DMI55 DCM51:DCM55 CSQ51:CSQ55 CIU51:CIU55 BYY51:BYY55 BPC51:BPC55 BFG51:BFG55 AVK51:AVK55 ALO51:ALO55 ABS51:ABS55 RW51:RW55 IA51:IA55 WUM51:WUM55 WKQ51:WKQ55 WAU51:WAU55 VQY51:VQY55 VHC51:VHC55" xr:uid="{F2D041B2-56D4-405C-B5E5-D23FEB0CA5A8}">
      <formula1>IA17:IA19</formula1>
    </dataValidation>
    <dataValidation type="list" allowBlank="1" showInputMessage="1" showErrorMessage="1" sqref="VQY56:VQY58 VHC56:VHC58 UXG56:UXG58 UNK56:UNK58 UDO56:UDO58 TTS56:TTS58 TJW56:TJW58 TAA56:TAA58 SQE56:SQE58 SGI56:SGI58 RWM56:RWM58 RMQ56:RMQ58 RCU56:RCU58 QSY56:QSY58 QJC56:QJC58 PZG56:PZG58 PPK56:PPK58 PFO56:PFO58 OVS56:OVS58 OLW56:OLW58 OCA56:OCA58 NSE56:NSE58 NII56:NII58 MYM56:MYM58 MOQ56:MOQ58 MEU56:MEU58 LUY56:LUY58 LLC56:LLC58 LBG56:LBG58 KRK56:KRK58 KHO56:KHO58 JXS56:JXS58 JNW56:JNW58 JEA56:JEA58 IUE56:IUE58 IKI56:IKI58 IAM56:IAM58 HQQ56:HQQ58 HGU56:HGU58 GWY56:GWY58 GNC56:GNC58 GDG56:GDG58 FTK56:FTK58 FJO56:FJO58 EZS56:EZS58 EPW56:EPW58 EGA56:EGA58 DWE56:DWE58 DMI56:DMI58 DCM56:DCM58 CSQ56:CSQ58 CIU56:CIU58 BYY56:BYY58 BPC56:BPC58 BFG56:BFG58 AVK56:AVK58 ALO56:ALO58 ABS56:ABS58 RW56:RW58 IA56:IA58 WUM56:WUM58 WKQ56:WKQ58 WAU56:WAU58" xr:uid="{2A74E1F8-F3D7-4296-9482-1468D6F72FE2}">
      <formula1>IA67:IA69</formula1>
    </dataValidation>
  </dataValidations>
  <printOptions horizontalCentered="1" verticalCentered="1"/>
  <pageMargins left="0.74803149606299213" right="0.35433070866141736" top="0.59055118110236227" bottom="0.43307086614173229" header="0.51181102362204722" footer="0.27559055118110237"/>
  <pageSetup paperSize="9" scale="97"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E1D40C-F68D-4F35-B3AD-40D2A3F530DA}">
  <sheetPr>
    <tabColor indexed="43"/>
  </sheetPr>
  <dimension ref="A1:AG48"/>
  <sheetViews>
    <sheetView showZeros="0" view="pageBreakPreview" topLeftCell="A7" zoomScaleNormal="100" zoomScaleSheetLayoutView="100" workbookViewId="0">
      <selection activeCell="C37" sqref="C37:D37"/>
    </sheetView>
  </sheetViews>
  <sheetFormatPr defaultColWidth="7" defaultRowHeight="20.100000000000001" customHeight="1" x14ac:dyDescent="0.3"/>
  <cols>
    <col min="1" max="1" width="12.375" style="69" customWidth="1"/>
    <col min="2" max="3" width="7.625" style="69" customWidth="1"/>
    <col min="4" max="4" width="14.375" style="69" customWidth="1"/>
    <col min="5" max="5" width="6.5" style="69" customWidth="1"/>
    <col min="6" max="6" width="3.75" style="69" customWidth="1"/>
    <col min="7" max="8" width="8.75" style="69" customWidth="1"/>
    <col min="9" max="9" width="3.75" style="69" customWidth="1"/>
    <col min="10" max="10" width="15.5" style="69" customWidth="1"/>
    <col min="11" max="11" width="38.625" style="69" customWidth="1"/>
    <col min="12" max="12" width="4.25" style="68" customWidth="1"/>
    <col min="13" max="13" width="11.75" style="69" customWidth="1"/>
    <col min="14" max="14" width="11.375" style="69" bestFit="1" customWidth="1"/>
    <col min="15" max="15" width="5" style="69" hidden="1" customWidth="1"/>
    <col min="16" max="16" width="7.25" style="69" hidden="1" customWidth="1"/>
    <col min="17" max="17" width="7" style="69" hidden="1" customWidth="1"/>
    <col min="18" max="18" width="19.125" style="69" hidden="1" customWidth="1"/>
    <col min="19" max="19" width="6.75" style="69" hidden="1" customWidth="1"/>
    <col min="20" max="20" width="7" style="69" hidden="1" customWidth="1"/>
    <col min="21" max="21" width="15.625" style="69" hidden="1" customWidth="1"/>
    <col min="22" max="23" width="7" style="69" hidden="1" customWidth="1"/>
    <col min="24" max="24" width="20.75" style="69" hidden="1" customWidth="1"/>
    <col min="25" max="30" width="7" style="69" hidden="1" customWidth="1"/>
    <col min="31" max="31" width="16.75" style="69" hidden="1" customWidth="1"/>
    <col min="32" max="33" width="7" style="69" hidden="1" customWidth="1"/>
    <col min="34" max="256" width="7" style="69"/>
    <col min="257" max="257" width="12.375" style="69" customWidth="1"/>
    <col min="258" max="259" width="7.625" style="69" customWidth="1"/>
    <col min="260" max="260" width="14.375" style="69" customWidth="1"/>
    <col min="261" max="261" width="6.5" style="69" customWidth="1"/>
    <col min="262" max="262" width="3.75" style="69" customWidth="1"/>
    <col min="263" max="264" width="8.75" style="69" customWidth="1"/>
    <col min="265" max="265" width="3.75" style="69" customWidth="1"/>
    <col min="266" max="266" width="15.5" style="69" customWidth="1"/>
    <col min="267" max="267" width="38.625" style="69" customWidth="1"/>
    <col min="268" max="268" width="4.25" style="69" customWidth="1"/>
    <col min="269" max="269" width="11.75" style="69" customWidth="1"/>
    <col min="270" max="270" width="11.375" style="69" bestFit="1" customWidth="1"/>
    <col min="271" max="289" width="0" style="69" hidden="1" customWidth="1"/>
    <col min="290" max="512" width="7" style="69"/>
    <col min="513" max="513" width="12.375" style="69" customWidth="1"/>
    <col min="514" max="515" width="7.625" style="69" customWidth="1"/>
    <col min="516" max="516" width="14.375" style="69" customWidth="1"/>
    <col min="517" max="517" width="6.5" style="69" customWidth="1"/>
    <col min="518" max="518" width="3.75" style="69" customWidth="1"/>
    <col min="519" max="520" width="8.75" style="69" customWidth="1"/>
    <col min="521" max="521" width="3.75" style="69" customWidth="1"/>
    <col min="522" max="522" width="15.5" style="69" customWidth="1"/>
    <col min="523" max="523" width="38.625" style="69" customWidth="1"/>
    <col min="524" max="524" width="4.25" style="69" customWidth="1"/>
    <col min="525" max="525" width="11.75" style="69" customWidth="1"/>
    <col min="526" max="526" width="11.375" style="69" bestFit="1" customWidth="1"/>
    <col min="527" max="545" width="0" style="69" hidden="1" customWidth="1"/>
    <col min="546" max="768" width="7" style="69"/>
    <col min="769" max="769" width="12.375" style="69" customWidth="1"/>
    <col min="770" max="771" width="7.625" style="69" customWidth="1"/>
    <col min="772" max="772" width="14.375" style="69" customWidth="1"/>
    <col min="773" max="773" width="6.5" style="69" customWidth="1"/>
    <col min="774" max="774" width="3.75" style="69" customWidth="1"/>
    <col min="775" max="776" width="8.75" style="69" customWidth="1"/>
    <col min="777" max="777" width="3.75" style="69" customWidth="1"/>
    <col min="778" max="778" width="15.5" style="69" customWidth="1"/>
    <col min="779" max="779" width="38.625" style="69" customWidth="1"/>
    <col min="780" max="780" width="4.25" style="69" customWidth="1"/>
    <col min="781" max="781" width="11.75" style="69" customWidth="1"/>
    <col min="782" max="782" width="11.375" style="69" bestFit="1" customWidth="1"/>
    <col min="783" max="801" width="0" style="69" hidden="1" customWidth="1"/>
    <col min="802" max="1024" width="7" style="69"/>
    <col min="1025" max="1025" width="12.375" style="69" customWidth="1"/>
    <col min="1026" max="1027" width="7.625" style="69" customWidth="1"/>
    <col min="1028" max="1028" width="14.375" style="69" customWidth="1"/>
    <col min="1029" max="1029" width="6.5" style="69" customWidth="1"/>
    <col min="1030" max="1030" width="3.75" style="69" customWidth="1"/>
    <col min="1031" max="1032" width="8.75" style="69" customWidth="1"/>
    <col min="1033" max="1033" width="3.75" style="69" customWidth="1"/>
    <col min="1034" max="1034" width="15.5" style="69" customWidth="1"/>
    <col min="1035" max="1035" width="38.625" style="69" customWidth="1"/>
    <col min="1036" max="1036" width="4.25" style="69" customWidth="1"/>
    <col min="1037" max="1037" width="11.75" style="69" customWidth="1"/>
    <col min="1038" max="1038" width="11.375" style="69" bestFit="1" customWidth="1"/>
    <col min="1039" max="1057" width="0" style="69" hidden="1" customWidth="1"/>
    <col min="1058" max="1280" width="7" style="69"/>
    <col min="1281" max="1281" width="12.375" style="69" customWidth="1"/>
    <col min="1282" max="1283" width="7.625" style="69" customWidth="1"/>
    <col min="1284" max="1284" width="14.375" style="69" customWidth="1"/>
    <col min="1285" max="1285" width="6.5" style="69" customWidth="1"/>
    <col min="1286" max="1286" width="3.75" style="69" customWidth="1"/>
    <col min="1287" max="1288" width="8.75" style="69" customWidth="1"/>
    <col min="1289" max="1289" width="3.75" style="69" customWidth="1"/>
    <col min="1290" max="1290" width="15.5" style="69" customWidth="1"/>
    <col min="1291" max="1291" width="38.625" style="69" customWidth="1"/>
    <col min="1292" max="1292" width="4.25" style="69" customWidth="1"/>
    <col min="1293" max="1293" width="11.75" style="69" customWidth="1"/>
    <col min="1294" max="1294" width="11.375" style="69" bestFit="1" customWidth="1"/>
    <col min="1295" max="1313" width="0" style="69" hidden="1" customWidth="1"/>
    <col min="1314" max="1536" width="7" style="69"/>
    <col min="1537" max="1537" width="12.375" style="69" customWidth="1"/>
    <col min="1538" max="1539" width="7.625" style="69" customWidth="1"/>
    <col min="1540" max="1540" width="14.375" style="69" customWidth="1"/>
    <col min="1541" max="1541" width="6.5" style="69" customWidth="1"/>
    <col min="1542" max="1542" width="3.75" style="69" customWidth="1"/>
    <col min="1543" max="1544" width="8.75" style="69" customWidth="1"/>
    <col min="1545" max="1545" width="3.75" style="69" customWidth="1"/>
    <col min="1546" max="1546" width="15.5" style="69" customWidth="1"/>
    <col min="1547" max="1547" width="38.625" style="69" customWidth="1"/>
    <col min="1548" max="1548" width="4.25" style="69" customWidth="1"/>
    <col min="1549" max="1549" width="11.75" style="69" customWidth="1"/>
    <col min="1550" max="1550" width="11.375" style="69" bestFit="1" customWidth="1"/>
    <col min="1551" max="1569" width="0" style="69" hidden="1" customWidth="1"/>
    <col min="1570" max="1792" width="7" style="69"/>
    <col min="1793" max="1793" width="12.375" style="69" customWidth="1"/>
    <col min="1794" max="1795" width="7.625" style="69" customWidth="1"/>
    <col min="1796" max="1796" width="14.375" style="69" customWidth="1"/>
    <col min="1797" max="1797" width="6.5" style="69" customWidth="1"/>
    <col min="1798" max="1798" width="3.75" style="69" customWidth="1"/>
    <col min="1799" max="1800" width="8.75" style="69" customWidth="1"/>
    <col min="1801" max="1801" width="3.75" style="69" customWidth="1"/>
    <col min="1802" max="1802" width="15.5" style="69" customWidth="1"/>
    <col min="1803" max="1803" width="38.625" style="69" customWidth="1"/>
    <col min="1804" max="1804" width="4.25" style="69" customWidth="1"/>
    <col min="1805" max="1805" width="11.75" style="69" customWidth="1"/>
    <col min="1806" max="1806" width="11.375" style="69" bestFit="1" customWidth="1"/>
    <col min="1807" max="1825" width="0" style="69" hidden="1" customWidth="1"/>
    <col min="1826" max="2048" width="7" style="69"/>
    <col min="2049" max="2049" width="12.375" style="69" customWidth="1"/>
    <col min="2050" max="2051" width="7.625" style="69" customWidth="1"/>
    <col min="2052" max="2052" width="14.375" style="69" customWidth="1"/>
    <col min="2053" max="2053" width="6.5" style="69" customWidth="1"/>
    <col min="2054" max="2054" width="3.75" style="69" customWidth="1"/>
    <col min="2055" max="2056" width="8.75" style="69" customWidth="1"/>
    <col min="2057" max="2057" width="3.75" style="69" customWidth="1"/>
    <col min="2058" max="2058" width="15.5" style="69" customWidth="1"/>
    <col min="2059" max="2059" width="38.625" style="69" customWidth="1"/>
    <col min="2060" max="2060" width="4.25" style="69" customWidth="1"/>
    <col min="2061" max="2061" width="11.75" style="69" customWidth="1"/>
    <col min="2062" max="2062" width="11.375" style="69" bestFit="1" customWidth="1"/>
    <col min="2063" max="2081" width="0" style="69" hidden="1" customWidth="1"/>
    <col min="2082" max="2304" width="7" style="69"/>
    <col min="2305" max="2305" width="12.375" style="69" customWidth="1"/>
    <col min="2306" max="2307" width="7.625" style="69" customWidth="1"/>
    <col min="2308" max="2308" width="14.375" style="69" customWidth="1"/>
    <col min="2309" max="2309" width="6.5" style="69" customWidth="1"/>
    <col min="2310" max="2310" width="3.75" style="69" customWidth="1"/>
    <col min="2311" max="2312" width="8.75" style="69" customWidth="1"/>
    <col min="2313" max="2313" width="3.75" style="69" customWidth="1"/>
    <col min="2314" max="2314" width="15.5" style="69" customWidth="1"/>
    <col min="2315" max="2315" width="38.625" style="69" customWidth="1"/>
    <col min="2316" max="2316" width="4.25" style="69" customWidth="1"/>
    <col min="2317" max="2317" width="11.75" style="69" customWidth="1"/>
    <col min="2318" max="2318" width="11.375" style="69" bestFit="1" customWidth="1"/>
    <col min="2319" max="2337" width="0" style="69" hidden="1" customWidth="1"/>
    <col min="2338" max="2560" width="7" style="69"/>
    <col min="2561" max="2561" width="12.375" style="69" customWidth="1"/>
    <col min="2562" max="2563" width="7.625" style="69" customWidth="1"/>
    <col min="2564" max="2564" width="14.375" style="69" customWidth="1"/>
    <col min="2565" max="2565" width="6.5" style="69" customWidth="1"/>
    <col min="2566" max="2566" width="3.75" style="69" customWidth="1"/>
    <col min="2567" max="2568" width="8.75" style="69" customWidth="1"/>
    <col min="2569" max="2569" width="3.75" style="69" customWidth="1"/>
    <col min="2570" max="2570" width="15.5" style="69" customWidth="1"/>
    <col min="2571" max="2571" width="38.625" style="69" customWidth="1"/>
    <col min="2572" max="2572" width="4.25" style="69" customWidth="1"/>
    <col min="2573" max="2573" width="11.75" style="69" customWidth="1"/>
    <col min="2574" max="2574" width="11.375" style="69" bestFit="1" customWidth="1"/>
    <col min="2575" max="2593" width="0" style="69" hidden="1" customWidth="1"/>
    <col min="2594" max="2816" width="7" style="69"/>
    <col min="2817" max="2817" width="12.375" style="69" customWidth="1"/>
    <col min="2818" max="2819" width="7.625" style="69" customWidth="1"/>
    <col min="2820" max="2820" width="14.375" style="69" customWidth="1"/>
    <col min="2821" max="2821" width="6.5" style="69" customWidth="1"/>
    <col min="2822" max="2822" width="3.75" style="69" customWidth="1"/>
    <col min="2823" max="2824" width="8.75" style="69" customWidth="1"/>
    <col min="2825" max="2825" width="3.75" style="69" customWidth="1"/>
    <col min="2826" max="2826" width="15.5" style="69" customWidth="1"/>
    <col min="2827" max="2827" width="38.625" style="69" customWidth="1"/>
    <col min="2828" max="2828" width="4.25" style="69" customWidth="1"/>
    <col min="2829" max="2829" width="11.75" style="69" customWidth="1"/>
    <col min="2830" max="2830" width="11.375" style="69" bestFit="1" customWidth="1"/>
    <col min="2831" max="2849" width="0" style="69" hidden="1" customWidth="1"/>
    <col min="2850" max="3072" width="7" style="69"/>
    <col min="3073" max="3073" width="12.375" style="69" customWidth="1"/>
    <col min="3074" max="3075" width="7.625" style="69" customWidth="1"/>
    <col min="3076" max="3076" width="14.375" style="69" customWidth="1"/>
    <col min="3077" max="3077" width="6.5" style="69" customWidth="1"/>
    <col min="3078" max="3078" width="3.75" style="69" customWidth="1"/>
    <col min="3079" max="3080" width="8.75" style="69" customWidth="1"/>
    <col min="3081" max="3081" width="3.75" style="69" customWidth="1"/>
    <col min="3082" max="3082" width="15.5" style="69" customWidth="1"/>
    <col min="3083" max="3083" width="38.625" style="69" customWidth="1"/>
    <col min="3084" max="3084" width="4.25" style="69" customWidth="1"/>
    <col min="3085" max="3085" width="11.75" style="69" customWidth="1"/>
    <col min="3086" max="3086" width="11.375" style="69" bestFit="1" customWidth="1"/>
    <col min="3087" max="3105" width="0" style="69" hidden="1" customWidth="1"/>
    <col min="3106" max="3328" width="7" style="69"/>
    <col min="3329" max="3329" width="12.375" style="69" customWidth="1"/>
    <col min="3330" max="3331" width="7.625" style="69" customWidth="1"/>
    <col min="3332" max="3332" width="14.375" style="69" customWidth="1"/>
    <col min="3333" max="3333" width="6.5" style="69" customWidth="1"/>
    <col min="3334" max="3334" width="3.75" style="69" customWidth="1"/>
    <col min="3335" max="3336" width="8.75" style="69" customWidth="1"/>
    <col min="3337" max="3337" width="3.75" style="69" customWidth="1"/>
    <col min="3338" max="3338" width="15.5" style="69" customWidth="1"/>
    <col min="3339" max="3339" width="38.625" style="69" customWidth="1"/>
    <col min="3340" max="3340" width="4.25" style="69" customWidth="1"/>
    <col min="3341" max="3341" width="11.75" style="69" customWidth="1"/>
    <col min="3342" max="3342" width="11.375" style="69" bestFit="1" customWidth="1"/>
    <col min="3343" max="3361" width="0" style="69" hidden="1" customWidth="1"/>
    <col min="3362" max="3584" width="7" style="69"/>
    <col min="3585" max="3585" width="12.375" style="69" customWidth="1"/>
    <col min="3586" max="3587" width="7.625" style="69" customWidth="1"/>
    <col min="3588" max="3588" width="14.375" style="69" customWidth="1"/>
    <col min="3589" max="3589" width="6.5" style="69" customWidth="1"/>
    <col min="3590" max="3590" width="3.75" style="69" customWidth="1"/>
    <col min="3591" max="3592" width="8.75" style="69" customWidth="1"/>
    <col min="3593" max="3593" width="3.75" style="69" customWidth="1"/>
    <col min="3594" max="3594" width="15.5" style="69" customWidth="1"/>
    <col min="3595" max="3595" width="38.625" style="69" customWidth="1"/>
    <col min="3596" max="3596" width="4.25" style="69" customWidth="1"/>
    <col min="3597" max="3597" width="11.75" style="69" customWidth="1"/>
    <col min="3598" max="3598" width="11.375" style="69" bestFit="1" customWidth="1"/>
    <col min="3599" max="3617" width="0" style="69" hidden="1" customWidth="1"/>
    <col min="3618" max="3840" width="7" style="69"/>
    <col min="3841" max="3841" width="12.375" style="69" customWidth="1"/>
    <col min="3842" max="3843" width="7.625" style="69" customWidth="1"/>
    <col min="3844" max="3844" width="14.375" style="69" customWidth="1"/>
    <col min="3845" max="3845" width="6.5" style="69" customWidth="1"/>
    <col min="3846" max="3846" width="3.75" style="69" customWidth="1"/>
    <col min="3847" max="3848" width="8.75" style="69" customWidth="1"/>
    <col min="3849" max="3849" width="3.75" style="69" customWidth="1"/>
    <col min="3850" max="3850" width="15.5" style="69" customWidth="1"/>
    <col min="3851" max="3851" width="38.625" style="69" customWidth="1"/>
    <col min="3852" max="3852" width="4.25" style="69" customWidth="1"/>
    <col min="3853" max="3853" width="11.75" style="69" customWidth="1"/>
    <col min="3854" max="3854" width="11.375" style="69" bestFit="1" customWidth="1"/>
    <col min="3855" max="3873" width="0" style="69" hidden="1" customWidth="1"/>
    <col min="3874" max="4096" width="7" style="69"/>
    <col min="4097" max="4097" width="12.375" style="69" customWidth="1"/>
    <col min="4098" max="4099" width="7.625" style="69" customWidth="1"/>
    <col min="4100" max="4100" width="14.375" style="69" customWidth="1"/>
    <col min="4101" max="4101" width="6.5" style="69" customWidth="1"/>
    <col min="4102" max="4102" width="3.75" style="69" customWidth="1"/>
    <col min="4103" max="4104" width="8.75" style="69" customWidth="1"/>
    <col min="4105" max="4105" width="3.75" style="69" customWidth="1"/>
    <col min="4106" max="4106" width="15.5" style="69" customWidth="1"/>
    <col min="4107" max="4107" width="38.625" style="69" customWidth="1"/>
    <col min="4108" max="4108" width="4.25" style="69" customWidth="1"/>
    <col min="4109" max="4109" width="11.75" style="69" customWidth="1"/>
    <col min="4110" max="4110" width="11.375" style="69" bestFit="1" customWidth="1"/>
    <col min="4111" max="4129" width="0" style="69" hidden="1" customWidth="1"/>
    <col min="4130" max="4352" width="7" style="69"/>
    <col min="4353" max="4353" width="12.375" style="69" customWidth="1"/>
    <col min="4354" max="4355" width="7.625" style="69" customWidth="1"/>
    <col min="4356" max="4356" width="14.375" style="69" customWidth="1"/>
    <col min="4357" max="4357" width="6.5" style="69" customWidth="1"/>
    <col min="4358" max="4358" width="3.75" style="69" customWidth="1"/>
    <col min="4359" max="4360" width="8.75" style="69" customWidth="1"/>
    <col min="4361" max="4361" width="3.75" style="69" customWidth="1"/>
    <col min="4362" max="4362" width="15.5" style="69" customWidth="1"/>
    <col min="4363" max="4363" width="38.625" style="69" customWidth="1"/>
    <col min="4364" max="4364" width="4.25" style="69" customWidth="1"/>
    <col min="4365" max="4365" width="11.75" style="69" customWidth="1"/>
    <col min="4366" max="4366" width="11.375" style="69" bestFit="1" customWidth="1"/>
    <col min="4367" max="4385" width="0" style="69" hidden="1" customWidth="1"/>
    <col min="4386" max="4608" width="7" style="69"/>
    <col min="4609" max="4609" width="12.375" style="69" customWidth="1"/>
    <col min="4610" max="4611" width="7.625" style="69" customWidth="1"/>
    <col min="4612" max="4612" width="14.375" style="69" customWidth="1"/>
    <col min="4613" max="4613" width="6.5" style="69" customWidth="1"/>
    <col min="4614" max="4614" width="3.75" style="69" customWidth="1"/>
    <col min="4615" max="4616" width="8.75" style="69" customWidth="1"/>
    <col min="4617" max="4617" width="3.75" style="69" customWidth="1"/>
    <col min="4618" max="4618" width="15.5" style="69" customWidth="1"/>
    <col min="4619" max="4619" width="38.625" style="69" customWidth="1"/>
    <col min="4620" max="4620" width="4.25" style="69" customWidth="1"/>
    <col min="4621" max="4621" width="11.75" style="69" customWidth="1"/>
    <col min="4622" max="4622" width="11.375" style="69" bestFit="1" customWidth="1"/>
    <col min="4623" max="4641" width="0" style="69" hidden="1" customWidth="1"/>
    <col min="4642" max="4864" width="7" style="69"/>
    <col min="4865" max="4865" width="12.375" style="69" customWidth="1"/>
    <col min="4866" max="4867" width="7.625" style="69" customWidth="1"/>
    <col min="4868" max="4868" width="14.375" style="69" customWidth="1"/>
    <col min="4869" max="4869" width="6.5" style="69" customWidth="1"/>
    <col min="4870" max="4870" width="3.75" style="69" customWidth="1"/>
    <col min="4871" max="4872" width="8.75" style="69" customWidth="1"/>
    <col min="4873" max="4873" width="3.75" style="69" customWidth="1"/>
    <col min="4874" max="4874" width="15.5" style="69" customWidth="1"/>
    <col min="4875" max="4875" width="38.625" style="69" customWidth="1"/>
    <col min="4876" max="4876" width="4.25" style="69" customWidth="1"/>
    <col min="4877" max="4877" width="11.75" style="69" customWidth="1"/>
    <col min="4878" max="4878" width="11.375" style="69" bestFit="1" customWidth="1"/>
    <col min="4879" max="4897" width="0" style="69" hidden="1" customWidth="1"/>
    <col min="4898" max="5120" width="7" style="69"/>
    <col min="5121" max="5121" width="12.375" style="69" customWidth="1"/>
    <col min="5122" max="5123" width="7.625" style="69" customWidth="1"/>
    <col min="5124" max="5124" width="14.375" style="69" customWidth="1"/>
    <col min="5125" max="5125" width="6.5" style="69" customWidth="1"/>
    <col min="5126" max="5126" width="3.75" style="69" customWidth="1"/>
    <col min="5127" max="5128" width="8.75" style="69" customWidth="1"/>
    <col min="5129" max="5129" width="3.75" style="69" customWidth="1"/>
    <col min="5130" max="5130" width="15.5" style="69" customWidth="1"/>
    <col min="5131" max="5131" width="38.625" style="69" customWidth="1"/>
    <col min="5132" max="5132" width="4.25" style="69" customWidth="1"/>
    <col min="5133" max="5133" width="11.75" style="69" customWidth="1"/>
    <col min="5134" max="5134" width="11.375" style="69" bestFit="1" customWidth="1"/>
    <col min="5135" max="5153" width="0" style="69" hidden="1" customWidth="1"/>
    <col min="5154" max="5376" width="7" style="69"/>
    <col min="5377" max="5377" width="12.375" style="69" customWidth="1"/>
    <col min="5378" max="5379" width="7.625" style="69" customWidth="1"/>
    <col min="5380" max="5380" width="14.375" style="69" customWidth="1"/>
    <col min="5381" max="5381" width="6.5" style="69" customWidth="1"/>
    <col min="5382" max="5382" width="3.75" style="69" customWidth="1"/>
    <col min="5383" max="5384" width="8.75" style="69" customWidth="1"/>
    <col min="5385" max="5385" width="3.75" style="69" customWidth="1"/>
    <col min="5386" max="5386" width="15.5" style="69" customWidth="1"/>
    <col min="5387" max="5387" width="38.625" style="69" customWidth="1"/>
    <col min="5388" max="5388" width="4.25" style="69" customWidth="1"/>
    <col min="5389" max="5389" width="11.75" style="69" customWidth="1"/>
    <col min="5390" max="5390" width="11.375" style="69" bestFit="1" customWidth="1"/>
    <col min="5391" max="5409" width="0" style="69" hidden="1" customWidth="1"/>
    <col min="5410" max="5632" width="7" style="69"/>
    <col min="5633" max="5633" width="12.375" style="69" customWidth="1"/>
    <col min="5634" max="5635" width="7.625" style="69" customWidth="1"/>
    <col min="5636" max="5636" width="14.375" style="69" customWidth="1"/>
    <col min="5637" max="5637" width="6.5" style="69" customWidth="1"/>
    <col min="5638" max="5638" width="3.75" style="69" customWidth="1"/>
    <col min="5639" max="5640" width="8.75" style="69" customWidth="1"/>
    <col min="5641" max="5641" width="3.75" style="69" customWidth="1"/>
    <col min="5642" max="5642" width="15.5" style="69" customWidth="1"/>
    <col min="5643" max="5643" width="38.625" style="69" customWidth="1"/>
    <col min="5644" max="5644" width="4.25" style="69" customWidth="1"/>
    <col min="5645" max="5645" width="11.75" style="69" customWidth="1"/>
    <col min="5646" max="5646" width="11.375" style="69" bestFit="1" customWidth="1"/>
    <col min="5647" max="5665" width="0" style="69" hidden="1" customWidth="1"/>
    <col min="5666" max="5888" width="7" style="69"/>
    <col min="5889" max="5889" width="12.375" style="69" customWidth="1"/>
    <col min="5890" max="5891" width="7.625" style="69" customWidth="1"/>
    <col min="5892" max="5892" width="14.375" style="69" customWidth="1"/>
    <col min="5893" max="5893" width="6.5" style="69" customWidth="1"/>
    <col min="5894" max="5894" width="3.75" style="69" customWidth="1"/>
    <col min="5895" max="5896" width="8.75" style="69" customWidth="1"/>
    <col min="5897" max="5897" width="3.75" style="69" customWidth="1"/>
    <col min="5898" max="5898" width="15.5" style="69" customWidth="1"/>
    <col min="5899" max="5899" width="38.625" style="69" customWidth="1"/>
    <col min="5900" max="5900" width="4.25" style="69" customWidth="1"/>
    <col min="5901" max="5901" width="11.75" style="69" customWidth="1"/>
    <col min="5902" max="5902" width="11.375" style="69" bestFit="1" customWidth="1"/>
    <col min="5903" max="5921" width="0" style="69" hidden="1" customWidth="1"/>
    <col min="5922" max="6144" width="7" style="69"/>
    <col min="6145" max="6145" width="12.375" style="69" customWidth="1"/>
    <col min="6146" max="6147" width="7.625" style="69" customWidth="1"/>
    <col min="6148" max="6148" width="14.375" style="69" customWidth="1"/>
    <col min="6149" max="6149" width="6.5" style="69" customWidth="1"/>
    <col min="6150" max="6150" width="3.75" style="69" customWidth="1"/>
    <col min="6151" max="6152" width="8.75" style="69" customWidth="1"/>
    <col min="6153" max="6153" width="3.75" style="69" customWidth="1"/>
    <col min="6154" max="6154" width="15.5" style="69" customWidth="1"/>
    <col min="6155" max="6155" width="38.625" style="69" customWidth="1"/>
    <col min="6156" max="6156" width="4.25" style="69" customWidth="1"/>
    <col min="6157" max="6157" width="11.75" style="69" customWidth="1"/>
    <col min="6158" max="6158" width="11.375" style="69" bestFit="1" customWidth="1"/>
    <col min="6159" max="6177" width="0" style="69" hidden="1" customWidth="1"/>
    <col min="6178" max="6400" width="7" style="69"/>
    <col min="6401" max="6401" width="12.375" style="69" customWidth="1"/>
    <col min="6402" max="6403" width="7.625" style="69" customWidth="1"/>
    <col min="6404" max="6404" width="14.375" style="69" customWidth="1"/>
    <col min="6405" max="6405" width="6.5" style="69" customWidth="1"/>
    <col min="6406" max="6406" width="3.75" style="69" customWidth="1"/>
    <col min="6407" max="6408" width="8.75" style="69" customWidth="1"/>
    <col min="6409" max="6409" width="3.75" style="69" customWidth="1"/>
    <col min="6410" max="6410" width="15.5" style="69" customWidth="1"/>
    <col min="6411" max="6411" width="38.625" style="69" customWidth="1"/>
    <col min="6412" max="6412" width="4.25" style="69" customWidth="1"/>
    <col min="6413" max="6413" width="11.75" style="69" customWidth="1"/>
    <col min="6414" max="6414" width="11.375" style="69" bestFit="1" customWidth="1"/>
    <col min="6415" max="6433" width="0" style="69" hidden="1" customWidth="1"/>
    <col min="6434" max="6656" width="7" style="69"/>
    <col min="6657" max="6657" width="12.375" style="69" customWidth="1"/>
    <col min="6658" max="6659" width="7.625" style="69" customWidth="1"/>
    <col min="6660" max="6660" width="14.375" style="69" customWidth="1"/>
    <col min="6661" max="6661" width="6.5" style="69" customWidth="1"/>
    <col min="6662" max="6662" width="3.75" style="69" customWidth="1"/>
    <col min="6663" max="6664" width="8.75" style="69" customWidth="1"/>
    <col min="6665" max="6665" width="3.75" style="69" customWidth="1"/>
    <col min="6666" max="6666" width="15.5" style="69" customWidth="1"/>
    <col min="6667" max="6667" width="38.625" style="69" customWidth="1"/>
    <col min="6668" max="6668" width="4.25" style="69" customWidth="1"/>
    <col min="6669" max="6669" width="11.75" style="69" customWidth="1"/>
    <col min="6670" max="6670" width="11.375" style="69" bestFit="1" customWidth="1"/>
    <col min="6671" max="6689" width="0" style="69" hidden="1" customWidth="1"/>
    <col min="6690" max="6912" width="7" style="69"/>
    <col min="6913" max="6913" width="12.375" style="69" customWidth="1"/>
    <col min="6914" max="6915" width="7.625" style="69" customWidth="1"/>
    <col min="6916" max="6916" width="14.375" style="69" customWidth="1"/>
    <col min="6917" max="6917" width="6.5" style="69" customWidth="1"/>
    <col min="6918" max="6918" width="3.75" style="69" customWidth="1"/>
    <col min="6919" max="6920" width="8.75" style="69" customWidth="1"/>
    <col min="6921" max="6921" width="3.75" style="69" customWidth="1"/>
    <col min="6922" max="6922" width="15.5" style="69" customWidth="1"/>
    <col min="6923" max="6923" width="38.625" style="69" customWidth="1"/>
    <col min="6924" max="6924" width="4.25" style="69" customWidth="1"/>
    <col min="6925" max="6925" width="11.75" style="69" customWidth="1"/>
    <col min="6926" max="6926" width="11.375" style="69" bestFit="1" customWidth="1"/>
    <col min="6927" max="6945" width="0" style="69" hidden="1" customWidth="1"/>
    <col min="6946" max="7168" width="7" style="69"/>
    <col min="7169" max="7169" width="12.375" style="69" customWidth="1"/>
    <col min="7170" max="7171" width="7.625" style="69" customWidth="1"/>
    <col min="7172" max="7172" width="14.375" style="69" customWidth="1"/>
    <col min="7173" max="7173" width="6.5" style="69" customWidth="1"/>
    <col min="7174" max="7174" width="3.75" style="69" customWidth="1"/>
    <col min="7175" max="7176" width="8.75" style="69" customWidth="1"/>
    <col min="7177" max="7177" width="3.75" style="69" customWidth="1"/>
    <col min="7178" max="7178" width="15.5" style="69" customWidth="1"/>
    <col min="7179" max="7179" width="38.625" style="69" customWidth="1"/>
    <col min="7180" max="7180" width="4.25" style="69" customWidth="1"/>
    <col min="7181" max="7181" width="11.75" style="69" customWidth="1"/>
    <col min="7182" max="7182" width="11.375" style="69" bestFit="1" customWidth="1"/>
    <col min="7183" max="7201" width="0" style="69" hidden="1" customWidth="1"/>
    <col min="7202" max="7424" width="7" style="69"/>
    <col min="7425" max="7425" width="12.375" style="69" customWidth="1"/>
    <col min="7426" max="7427" width="7.625" style="69" customWidth="1"/>
    <col min="7428" max="7428" width="14.375" style="69" customWidth="1"/>
    <col min="7429" max="7429" width="6.5" style="69" customWidth="1"/>
    <col min="7430" max="7430" width="3.75" style="69" customWidth="1"/>
    <col min="7431" max="7432" width="8.75" style="69" customWidth="1"/>
    <col min="7433" max="7433" width="3.75" style="69" customWidth="1"/>
    <col min="7434" max="7434" width="15.5" style="69" customWidth="1"/>
    <col min="7435" max="7435" width="38.625" style="69" customWidth="1"/>
    <col min="7436" max="7436" width="4.25" style="69" customWidth="1"/>
    <col min="7437" max="7437" width="11.75" style="69" customWidth="1"/>
    <col min="7438" max="7438" width="11.375" style="69" bestFit="1" customWidth="1"/>
    <col min="7439" max="7457" width="0" style="69" hidden="1" customWidth="1"/>
    <col min="7458" max="7680" width="7" style="69"/>
    <col min="7681" max="7681" width="12.375" style="69" customWidth="1"/>
    <col min="7682" max="7683" width="7.625" style="69" customWidth="1"/>
    <col min="7684" max="7684" width="14.375" style="69" customWidth="1"/>
    <col min="7685" max="7685" width="6.5" style="69" customWidth="1"/>
    <col min="7686" max="7686" width="3.75" style="69" customWidth="1"/>
    <col min="7687" max="7688" width="8.75" style="69" customWidth="1"/>
    <col min="7689" max="7689" width="3.75" style="69" customWidth="1"/>
    <col min="7690" max="7690" width="15.5" style="69" customWidth="1"/>
    <col min="7691" max="7691" width="38.625" style="69" customWidth="1"/>
    <col min="7692" max="7692" width="4.25" style="69" customWidth="1"/>
    <col min="7693" max="7693" width="11.75" style="69" customWidth="1"/>
    <col min="7694" max="7694" width="11.375" style="69" bestFit="1" customWidth="1"/>
    <col min="7695" max="7713" width="0" style="69" hidden="1" customWidth="1"/>
    <col min="7714" max="7936" width="7" style="69"/>
    <col min="7937" max="7937" width="12.375" style="69" customWidth="1"/>
    <col min="7938" max="7939" width="7.625" style="69" customWidth="1"/>
    <col min="7940" max="7940" width="14.375" style="69" customWidth="1"/>
    <col min="7941" max="7941" width="6.5" style="69" customWidth="1"/>
    <col min="7942" max="7942" width="3.75" style="69" customWidth="1"/>
    <col min="7943" max="7944" width="8.75" style="69" customWidth="1"/>
    <col min="7945" max="7945" width="3.75" style="69" customWidth="1"/>
    <col min="7946" max="7946" width="15.5" style="69" customWidth="1"/>
    <col min="7947" max="7947" width="38.625" style="69" customWidth="1"/>
    <col min="7948" max="7948" width="4.25" style="69" customWidth="1"/>
    <col min="7949" max="7949" width="11.75" style="69" customWidth="1"/>
    <col min="7950" max="7950" width="11.375" style="69" bestFit="1" customWidth="1"/>
    <col min="7951" max="7969" width="0" style="69" hidden="1" customWidth="1"/>
    <col min="7970" max="8192" width="7" style="69"/>
    <col min="8193" max="8193" width="12.375" style="69" customWidth="1"/>
    <col min="8194" max="8195" width="7.625" style="69" customWidth="1"/>
    <col min="8196" max="8196" width="14.375" style="69" customWidth="1"/>
    <col min="8197" max="8197" width="6.5" style="69" customWidth="1"/>
    <col min="8198" max="8198" width="3.75" style="69" customWidth="1"/>
    <col min="8199" max="8200" width="8.75" style="69" customWidth="1"/>
    <col min="8201" max="8201" width="3.75" style="69" customWidth="1"/>
    <col min="8202" max="8202" width="15.5" style="69" customWidth="1"/>
    <col min="8203" max="8203" width="38.625" style="69" customWidth="1"/>
    <col min="8204" max="8204" width="4.25" style="69" customWidth="1"/>
    <col min="8205" max="8205" width="11.75" style="69" customWidth="1"/>
    <col min="8206" max="8206" width="11.375" style="69" bestFit="1" customWidth="1"/>
    <col min="8207" max="8225" width="0" style="69" hidden="1" customWidth="1"/>
    <col min="8226" max="8448" width="7" style="69"/>
    <col min="8449" max="8449" width="12.375" style="69" customWidth="1"/>
    <col min="8450" max="8451" width="7.625" style="69" customWidth="1"/>
    <col min="8452" max="8452" width="14.375" style="69" customWidth="1"/>
    <col min="8453" max="8453" width="6.5" style="69" customWidth="1"/>
    <col min="8454" max="8454" width="3.75" style="69" customWidth="1"/>
    <col min="8455" max="8456" width="8.75" style="69" customWidth="1"/>
    <col min="8457" max="8457" width="3.75" style="69" customWidth="1"/>
    <col min="8458" max="8458" width="15.5" style="69" customWidth="1"/>
    <col min="8459" max="8459" width="38.625" style="69" customWidth="1"/>
    <col min="8460" max="8460" width="4.25" style="69" customWidth="1"/>
    <col min="8461" max="8461" width="11.75" style="69" customWidth="1"/>
    <col min="8462" max="8462" width="11.375" style="69" bestFit="1" customWidth="1"/>
    <col min="8463" max="8481" width="0" style="69" hidden="1" customWidth="1"/>
    <col min="8482" max="8704" width="7" style="69"/>
    <col min="8705" max="8705" width="12.375" style="69" customWidth="1"/>
    <col min="8706" max="8707" width="7.625" style="69" customWidth="1"/>
    <col min="8708" max="8708" width="14.375" style="69" customWidth="1"/>
    <col min="8709" max="8709" width="6.5" style="69" customWidth="1"/>
    <col min="8710" max="8710" width="3.75" style="69" customWidth="1"/>
    <col min="8711" max="8712" width="8.75" style="69" customWidth="1"/>
    <col min="8713" max="8713" width="3.75" style="69" customWidth="1"/>
    <col min="8714" max="8714" width="15.5" style="69" customWidth="1"/>
    <col min="8715" max="8715" width="38.625" style="69" customWidth="1"/>
    <col min="8716" max="8716" width="4.25" style="69" customWidth="1"/>
    <col min="8717" max="8717" width="11.75" style="69" customWidth="1"/>
    <col min="8718" max="8718" width="11.375" style="69" bestFit="1" customWidth="1"/>
    <col min="8719" max="8737" width="0" style="69" hidden="1" customWidth="1"/>
    <col min="8738" max="8960" width="7" style="69"/>
    <col min="8961" max="8961" width="12.375" style="69" customWidth="1"/>
    <col min="8962" max="8963" width="7.625" style="69" customWidth="1"/>
    <col min="8964" max="8964" width="14.375" style="69" customWidth="1"/>
    <col min="8965" max="8965" width="6.5" style="69" customWidth="1"/>
    <col min="8966" max="8966" width="3.75" style="69" customWidth="1"/>
    <col min="8967" max="8968" width="8.75" style="69" customWidth="1"/>
    <col min="8969" max="8969" width="3.75" style="69" customWidth="1"/>
    <col min="8970" max="8970" width="15.5" style="69" customWidth="1"/>
    <col min="8971" max="8971" width="38.625" style="69" customWidth="1"/>
    <col min="8972" max="8972" width="4.25" style="69" customWidth="1"/>
    <col min="8973" max="8973" width="11.75" style="69" customWidth="1"/>
    <col min="8974" max="8974" width="11.375" style="69" bestFit="1" customWidth="1"/>
    <col min="8975" max="8993" width="0" style="69" hidden="1" customWidth="1"/>
    <col min="8994" max="9216" width="7" style="69"/>
    <col min="9217" max="9217" width="12.375" style="69" customWidth="1"/>
    <col min="9218" max="9219" width="7.625" style="69" customWidth="1"/>
    <col min="9220" max="9220" width="14.375" style="69" customWidth="1"/>
    <col min="9221" max="9221" width="6.5" style="69" customWidth="1"/>
    <col min="9222" max="9222" width="3.75" style="69" customWidth="1"/>
    <col min="9223" max="9224" width="8.75" style="69" customWidth="1"/>
    <col min="9225" max="9225" width="3.75" style="69" customWidth="1"/>
    <col min="9226" max="9226" width="15.5" style="69" customWidth="1"/>
    <col min="9227" max="9227" width="38.625" style="69" customWidth="1"/>
    <col min="9228" max="9228" width="4.25" style="69" customWidth="1"/>
    <col min="9229" max="9229" width="11.75" style="69" customWidth="1"/>
    <col min="9230" max="9230" width="11.375" style="69" bestFit="1" customWidth="1"/>
    <col min="9231" max="9249" width="0" style="69" hidden="1" customWidth="1"/>
    <col min="9250" max="9472" width="7" style="69"/>
    <col min="9473" max="9473" width="12.375" style="69" customWidth="1"/>
    <col min="9474" max="9475" width="7.625" style="69" customWidth="1"/>
    <col min="9476" max="9476" width="14.375" style="69" customWidth="1"/>
    <col min="9477" max="9477" width="6.5" style="69" customWidth="1"/>
    <col min="9478" max="9478" width="3.75" style="69" customWidth="1"/>
    <col min="9479" max="9480" width="8.75" style="69" customWidth="1"/>
    <col min="9481" max="9481" width="3.75" style="69" customWidth="1"/>
    <col min="9482" max="9482" width="15.5" style="69" customWidth="1"/>
    <col min="9483" max="9483" width="38.625" style="69" customWidth="1"/>
    <col min="9484" max="9484" width="4.25" style="69" customWidth="1"/>
    <col min="9485" max="9485" width="11.75" style="69" customWidth="1"/>
    <col min="9486" max="9486" width="11.375" style="69" bestFit="1" customWidth="1"/>
    <col min="9487" max="9505" width="0" style="69" hidden="1" customWidth="1"/>
    <col min="9506" max="9728" width="7" style="69"/>
    <col min="9729" max="9729" width="12.375" style="69" customWidth="1"/>
    <col min="9730" max="9731" width="7.625" style="69" customWidth="1"/>
    <col min="9732" max="9732" width="14.375" style="69" customWidth="1"/>
    <col min="9733" max="9733" width="6.5" style="69" customWidth="1"/>
    <col min="9734" max="9734" width="3.75" style="69" customWidth="1"/>
    <col min="9735" max="9736" width="8.75" style="69" customWidth="1"/>
    <col min="9737" max="9737" width="3.75" style="69" customWidth="1"/>
    <col min="9738" max="9738" width="15.5" style="69" customWidth="1"/>
    <col min="9739" max="9739" width="38.625" style="69" customWidth="1"/>
    <col min="9740" max="9740" width="4.25" style="69" customWidth="1"/>
    <col min="9741" max="9741" width="11.75" style="69" customWidth="1"/>
    <col min="9742" max="9742" width="11.375" style="69" bestFit="1" customWidth="1"/>
    <col min="9743" max="9761" width="0" style="69" hidden="1" customWidth="1"/>
    <col min="9762" max="9984" width="7" style="69"/>
    <col min="9985" max="9985" width="12.375" style="69" customWidth="1"/>
    <col min="9986" max="9987" width="7.625" style="69" customWidth="1"/>
    <col min="9988" max="9988" width="14.375" style="69" customWidth="1"/>
    <col min="9989" max="9989" width="6.5" style="69" customWidth="1"/>
    <col min="9990" max="9990" width="3.75" style="69" customWidth="1"/>
    <col min="9991" max="9992" width="8.75" style="69" customWidth="1"/>
    <col min="9993" max="9993" width="3.75" style="69" customWidth="1"/>
    <col min="9994" max="9994" width="15.5" style="69" customWidth="1"/>
    <col min="9995" max="9995" width="38.625" style="69" customWidth="1"/>
    <col min="9996" max="9996" width="4.25" style="69" customWidth="1"/>
    <col min="9997" max="9997" width="11.75" style="69" customWidth="1"/>
    <col min="9998" max="9998" width="11.375" style="69" bestFit="1" customWidth="1"/>
    <col min="9999" max="10017" width="0" style="69" hidden="1" customWidth="1"/>
    <col min="10018" max="10240" width="7" style="69"/>
    <col min="10241" max="10241" width="12.375" style="69" customWidth="1"/>
    <col min="10242" max="10243" width="7.625" style="69" customWidth="1"/>
    <col min="10244" max="10244" width="14.375" style="69" customWidth="1"/>
    <col min="10245" max="10245" width="6.5" style="69" customWidth="1"/>
    <col min="10246" max="10246" width="3.75" style="69" customWidth="1"/>
    <col min="10247" max="10248" width="8.75" style="69" customWidth="1"/>
    <col min="10249" max="10249" width="3.75" style="69" customWidth="1"/>
    <col min="10250" max="10250" width="15.5" style="69" customWidth="1"/>
    <col min="10251" max="10251" width="38.625" style="69" customWidth="1"/>
    <col min="10252" max="10252" width="4.25" style="69" customWidth="1"/>
    <col min="10253" max="10253" width="11.75" style="69" customWidth="1"/>
    <col min="10254" max="10254" width="11.375" style="69" bestFit="1" customWidth="1"/>
    <col min="10255" max="10273" width="0" style="69" hidden="1" customWidth="1"/>
    <col min="10274" max="10496" width="7" style="69"/>
    <col min="10497" max="10497" width="12.375" style="69" customWidth="1"/>
    <col min="10498" max="10499" width="7.625" style="69" customWidth="1"/>
    <col min="10500" max="10500" width="14.375" style="69" customWidth="1"/>
    <col min="10501" max="10501" width="6.5" style="69" customWidth="1"/>
    <col min="10502" max="10502" width="3.75" style="69" customWidth="1"/>
    <col min="10503" max="10504" width="8.75" style="69" customWidth="1"/>
    <col min="10505" max="10505" width="3.75" style="69" customWidth="1"/>
    <col min="10506" max="10506" width="15.5" style="69" customWidth="1"/>
    <col min="10507" max="10507" width="38.625" style="69" customWidth="1"/>
    <col min="10508" max="10508" width="4.25" style="69" customWidth="1"/>
    <col min="10509" max="10509" width="11.75" style="69" customWidth="1"/>
    <col min="10510" max="10510" width="11.375" style="69" bestFit="1" customWidth="1"/>
    <col min="10511" max="10529" width="0" style="69" hidden="1" customWidth="1"/>
    <col min="10530" max="10752" width="7" style="69"/>
    <col min="10753" max="10753" width="12.375" style="69" customWidth="1"/>
    <col min="10754" max="10755" width="7.625" style="69" customWidth="1"/>
    <col min="10756" max="10756" width="14.375" style="69" customWidth="1"/>
    <col min="10757" max="10757" width="6.5" style="69" customWidth="1"/>
    <col min="10758" max="10758" width="3.75" style="69" customWidth="1"/>
    <col min="10759" max="10760" width="8.75" style="69" customWidth="1"/>
    <col min="10761" max="10761" width="3.75" style="69" customWidth="1"/>
    <col min="10762" max="10762" width="15.5" style="69" customWidth="1"/>
    <col min="10763" max="10763" width="38.625" style="69" customWidth="1"/>
    <col min="10764" max="10764" width="4.25" style="69" customWidth="1"/>
    <col min="10765" max="10765" width="11.75" style="69" customWidth="1"/>
    <col min="10766" max="10766" width="11.375" style="69" bestFit="1" customWidth="1"/>
    <col min="10767" max="10785" width="0" style="69" hidden="1" customWidth="1"/>
    <col min="10786" max="11008" width="7" style="69"/>
    <col min="11009" max="11009" width="12.375" style="69" customWidth="1"/>
    <col min="11010" max="11011" width="7.625" style="69" customWidth="1"/>
    <col min="11012" max="11012" width="14.375" style="69" customWidth="1"/>
    <col min="11013" max="11013" width="6.5" style="69" customWidth="1"/>
    <col min="11014" max="11014" width="3.75" style="69" customWidth="1"/>
    <col min="11015" max="11016" width="8.75" style="69" customWidth="1"/>
    <col min="11017" max="11017" width="3.75" style="69" customWidth="1"/>
    <col min="11018" max="11018" width="15.5" style="69" customWidth="1"/>
    <col min="11019" max="11019" width="38.625" style="69" customWidth="1"/>
    <col min="11020" max="11020" width="4.25" style="69" customWidth="1"/>
    <col min="11021" max="11021" width="11.75" style="69" customWidth="1"/>
    <col min="11022" max="11022" width="11.375" style="69" bestFit="1" customWidth="1"/>
    <col min="11023" max="11041" width="0" style="69" hidden="1" customWidth="1"/>
    <col min="11042" max="11264" width="7" style="69"/>
    <col min="11265" max="11265" width="12.375" style="69" customWidth="1"/>
    <col min="11266" max="11267" width="7.625" style="69" customWidth="1"/>
    <col min="11268" max="11268" width="14.375" style="69" customWidth="1"/>
    <col min="11269" max="11269" width="6.5" style="69" customWidth="1"/>
    <col min="11270" max="11270" width="3.75" style="69" customWidth="1"/>
    <col min="11271" max="11272" width="8.75" style="69" customWidth="1"/>
    <col min="11273" max="11273" width="3.75" style="69" customWidth="1"/>
    <col min="11274" max="11274" width="15.5" style="69" customWidth="1"/>
    <col min="11275" max="11275" width="38.625" style="69" customWidth="1"/>
    <col min="11276" max="11276" width="4.25" style="69" customWidth="1"/>
    <col min="11277" max="11277" width="11.75" style="69" customWidth="1"/>
    <col min="11278" max="11278" width="11.375" style="69" bestFit="1" customWidth="1"/>
    <col min="11279" max="11297" width="0" style="69" hidden="1" customWidth="1"/>
    <col min="11298" max="11520" width="7" style="69"/>
    <col min="11521" max="11521" width="12.375" style="69" customWidth="1"/>
    <col min="11522" max="11523" width="7.625" style="69" customWidth="1"/>
    <col min="11524" max="11524" width="14.375" style="69" customWidth="1"/>
    <col min="11525" max="11525" width="6.5" style="69" customWidth="1"/>
    <col min="11526" max="11526" width="3.75" style="69" customWidth="1"/>
    <col min="11527" max="11528" width="8.75" style="69" customWidth="1"/>
    <col min="11529" max="11529" width="3.75" style="69" customWidth="1"/>
    <col min="11530" max="11530" width="15.5" style="69" customWidth="1"/>
    <col min="11531" max="11531" width="38.625" style="69" customWidth="1"/>
    <col min="11532" max="11532" width="4.25" style="69" customWidth="1"/>
    <col min="11533" max="11533" width="11.75" style="69" customWidth="1"/>
    <col min="11534" max="11534" width="11.375" style="69" bestFit="1" customWidth="1"/>
    <col min="11535" max="11553" width="0" style="69" hidden="1" customWidth="1"/>
    <col min="11554" max="11776" width="7" style="69"/>
    <col min="11777" max="11777" width="12.375" style="69" customWidth="1"/>
    <col min="11778" max="11779" width="7.625" style="69" customWidth="1"/>
    <col min="11780" max="11780" width="14.375" style="69" customWidth="1"/>
    <col min="11781" max="11781" width="6.5" style="69" customWidth="1"/>
    <col min="11782" max="11782" width="3.75" style="69" customWidth="1"/>
    <col min="11783" max="11784" width="8.75" style="69" customWidth="1"/>
    <col min="11785" max="11785" width="3.75" style="69" customWidth="1"/>
    <col min="11786" max="11786" width="15.5" style="69" customWidth="1"/>
    <col min="11787" max="11787" width="38.625" style="69" customWidth="1"/>
    <col min="11788" max="11788" width="4.25" style="69" customWidth="1"/>
    <col min="11789" max="11789" width="11.75" style="69" customWidth="1"/>
    <col min="11790" max="11790" width="11.375" style="69" bestFit="1" customWidth="1"/>
    <col min="11791" max="11809" width="0" style="69" hidden="1" customWidth="1"/>
    <col min="11810" max="12032" width="7" style="69"/>
    <col min="12033" max="12033" width="12.375" style="69" customWidth="1"/>
    <col min="12034" max="12035" width="7.625" style="69" customWidth="1"/>
    <col min="12036" max="12036" width="14.375" style="69" customWidth="1"/>
    <col min="12037" max="12037" width="6.5" style="69" customWidth="1"/>
    <col min="12038" max="12038" width="3.75" style="69" customWidth="1"/>
    <col min="12039" max="12040" width="8.75" style="69" customWidth="1"/>
    <col min="12041" max="12041" width="3.75" style="69" customWidth="1"/>
    <col min="12042" max="12042" width="15.5" style="69" customWidth="1"/>
    <col min="12043" max="12043" width="38.625" style="69" customWidth="1"/>
    <col min="12044" max="12044" width="4.25" style="69" customWidth="1"/>
    <col min="12045" max="12045" width="11.75" style="69" customWidth="1"/>
    <col min="12046" max="12046" width="11.375" style="69" bestFit="1" customWidth="1"/>
    <col min="12047" max="12065" width="0" style="69" hidden="1" customWidth="1"/>
    <col min="12066" max="12288" width="7" style="69"/>
    <col min="12289" max="12289" width="12.375" style="69" customWidth="1"/>
    <col min="12290" max="12291" width="7.625" style="69" customWidth="1"/>
    <col min="12292" max="12292" width="14.375" style="69" customWidth="1"/>
    <col min="12293" max="12293" width="6.5" style="69" customWidth="1"/>
    <col min="12294" max="12294" width="3.75" style="69" customWidth="1"/>
    <col min="12295" max="12296" width="8.75" style="69" customWidth="1"/>
    <col min="12297" max="12297" width="3.75" style="69" customWidth="1"/>
    <col min="12298" max="12298" width="15.5" style="69" customWidth="1"/>
    <col min="12299" max="12299" width="38.625" style="69" customWidth="1"/>
    <col min="12300" max="12300" width="4.25" style="69" customWidth="1"/>
    <col min="12301" max="12301" width="11.75" style="69" customWidth="1"/>
    <col min="12302" max="12302" width="11.375" style="69" bestFit="1" customWidth="1"/>
    <col min="12303" max="12321" width="0" style="69" hidden="1" customWidth="1"/>
    <col min="12322" max="12544" width="7" style="69"/>
    <col min="12545" max="12545" width="12.375" style="69" customWidth="1"/>
    <col min="12546" max="12547" width="7.625" style="69" customWidth="1"/>
    <col min="12548" max="12548" width="14.375" style="69" customWidth="1"/>
    <col min="12549" max="12549" width="6.5" style="69" customWidth="1"/>
    <col min="12550" max="12550" width="3.75" style="69" customWidth="1"/>
    <col min="12551" max="12552" width="8.75" style="69" customWidth="1"/>
    <col min="12553" max="12553" width="3.75" style="69" customWidth="1"/>
    <col min="12554" max="12554" width="15.5" style="69" customWidth="1"/>
    <col min="12555" max="12555" width="38.625" style="69" customWidth="1"/>
    <col min="12556" max="12556" width="4.25" style="69" customWidth="1"/>
    <col min="12557" max="12557" width="11.75" style="69" customWidth="1"/>
    <col min="12558" max="12558" width="11.375" style="69" bestFit="1" customWidth="1"/>
    <col min="12559" max="12577" width="0" style="69" hidden="1" customWidth="1"/>
    <col min="12578" max="12800" width="7" style="69"/>
    <col min="12801" max="12801" width="12.375" style="69" customWidth="1"/>
    <col min="12802" max="12803" width="7.625" style="69" customWidth="1"/>
    <col min="12804" max="12804" width="14.375" style="69" customWidth="1"/>
    <col min="12805" max="12805" width="6.5" style="69" customWidth="1"/>
    <col min="12806" max="12806" width="3.75" style="69" customWidth="1"/>
    <col min="12807" max="12808" width="8.75" style="69" customWidth="1"/>
    <col min="12809" max="12809" width="3.75" style="69" customWidth="1"/>
    <col min="12810" max="12810" width="15.5" style="69" customWidth="1"/>
    <col min="12811" max="12811" width="38.625" style="69" customWidth="1"/>
    <col min="12812" max="12812" width="4.25" style="69" customWidth="1"/>
    <col min="12813" max="12813" width="11.75" style="69" customWidth="1"/>
    <col min="12814" max="12814" width="11.375" style="69" bestFit="1" customWidth="1"/>
    <col min="12815" max="12833" width="0" style="69" hidden="1" customWidth="1"/>
    <col min="12834" max="13056" width="7" style="69"/>
    <col min="13057" max="13057" width="12.375" style="69" customWidth="1"/>
    <col min="13058" max="13059" width="7.625" style="69" customWidth="1"/>
    <col min="13060" max="13060" width="14.375" style="69" customWidth="1"/>
    <col min="13061" max="13061" width="6.5" style="69" customWidth="1"/>
    <col min="13062" max="13062" width="3.75" style="69" customWidth="1"/>
    <col min="13063" max="13064" width="8.75" style="69" customWidth="1"/>
    <col min="13065" max="13065" width="3.75" style="69" customWidth="1"/>
    <col min="13066" max="13066" width="15.5" style="69" customWidth="1"/>
    <col min="13067" max="13067" width="38.625" style="69" customWidth="1"/>
    <col min="13068" max="13068" width="4.25" style="69" customWidth="1"/>
    <col min="13069" max="13069" width="11.75" style="69" customWidth="1"/>
    <col min="13070" max="13070" width="11.375" style="69" bestFit="1" customWidth="1"/>
    <col min="13071" max="13089" width="0" style="69" hidden="1" customWidth="1"/>
    <col min="13090" max="13312" width="7" style="69"/>
    <col min="13313" max="13313" width="12.375" style="69" customWidth="1"/>
    <col min="13314" max="13315" width="7.625" style="69" customWidth="1"/>
    <col min="13316" max="13316" width="14.375" style="69" customWidth="1"/>
    <col min="13317" max="13317" width="6.5" style="69" customWidth="1"/>
    <col min="13318" max="13318" width="3.75" style="69" customWidth="1"/>
    <col min="13319" max="13320" width="8.75" style="69" customWidth="1"/>
    <col min="13321" max="13321" width="3.75" style="69" customWidth="1"/>
    <col min="13322" max="13322" width="15.5" style="69" customWidth="1"/>
    <col min="13323" max="13323" width="38.625" style="69" customWidth="1"/>
    <col min="13324" max="13324" width="4.25" style="69" customWidth="1"/>
    <col min="13325" max="13325" width="11.75" style="69" customWidth="1"/>
    <col min="13326" max="13326" width="11.375" style="69" bestFit="1" customWidth="1"/>
    <col min="13327" max="13345" width="0" style="69" hidden="1" customWidth="1"/>
    <col min="13346" max="13568" width="7" style="69"/>
    <col min="13569" max="13569" width="12.375" style="69" customWidth="1"/>
    <col min="13570" max="13571" width="7.625" style="69" customWidth="1"/>
    <col min="13572" max="13572" width="14.375" style="69" customWidth="1"/>
    <col min="13573" max="13573" width="6.5" style="69" customWidth="1"/>
    <col min="13574" max="13574" width="3.75" style="69" customWidth="1"/>
    <col min="13575" max="13576" width="8.75" style="69" customWidth="1"/>
    <col min="13577" max="13577" width="3.75" style="69" customWidth="1"/>
    <col min="13578" max="13578" width="15.5" style="69" customWidth="1"/>
    <col min="13579" max="13579" width="38.625" style="69" customWidth="1"/>
    <col min="13580" max="13580" width="4.25" style="69" customWidth="1"/>
    <col min="13581" max="13581" width="11.75" style="69" customWidth="1"/>
    <col min="13582" max="13582" width="11.375" style="69" bestFit="1" customWidth="1"/>
    <col min="13583" max="13601" width="0" style="69" hidden="1" customWidth="1"/>
    <col min="13602" max="13824" width="7" style="69"/>
    <col min="13825" max="13825" width="12.375" style="69" customWidth="1"/>
    <col min="13826" max="13827" width="7.625" style="69" customWidth="1"/>
    <col min="13828" max="13828" width="14.375" style="69" customWidth="1"/>
    <col min="13829" max="13829" width="6.5" style="69" customWidth="1"/>
    <col min="13830" max="13830" width="3.75" style="69" customWidth="1"/>
    <col min="13831" max="13832" width="8.75" style="69" customWidth="1"/>
    <col min="13833" max="13833" width="3.75" style="69" customWidth="1"/>
    <col min="13834" max="13834" width="15.5" style="69" customWidth="1"/>
    <col min="13835" max="13835" width="38.625" style="69" customWidth="1"/>
    <col min="13836" max="13836" width="4.25" style="69" customWidth="1"/>
    <col min="13837" max="13837" width="11.75" style="69" customWidth="1"/>
    <col min="13838" max="13838" width="11.375" style="69" bestFit="1" customWidth="1"/>
    <col min="13839" max="13857" width="0" style="69" hidden="1" customWidth="1"/>
    <col min="13858" max="14080" width="7" style="69"/>
    <col min="14081" max="14081" width="12.375" style="69" customWidth="1"/>
    <col min="14082" max="14083" width="7.625" style="69" customWidth="1"/>
    <col min="14084" max="14084" width="14.375" style="69" customWidth="1"/>
    <col min="14085" max="14085" width="6.5" style="69" customWidth="1"/>
    <col min="14086" max="14086" width="3.75" style="69" customWidth="1"/>
    <col min="14087" max="14088" width="8.75" style="69" customWidth="1"/>
    <col min="14089" max="14089" width="3.75" style="69" customWidth="1"/>
    <col min="14090" max="14090" width="15.5" style="69" customWidth="1"/>
    <col min="14091" max="14091" width="38.625" style="69" customWidth="1"/>
    <col min="14092" max="14092" width="4.25" style="69" customWidth="1"/>
    <col min="14093" max="14093" width="11.75" style="69" customWidth="1"/>
    <col min="14094" max="14094" width="11.375" style="69" bestFit="1" customWidth="1"/>
    <col min="14095" max="14113" width="0" style="69" hidden="1" customWidth="1"/>
    <col min="14114" max="14336" width="7" style="69"/>
    <col min="14337" max="14337" width="12.375" style="69" customWidth="1"/>
    <col min="14338" max="14339" width="7.625" style="69" customWidth="1"/>
    <col min="14340" max="14340" width="14.375" style="69" customWidth="1"/>
    <col min="14341" max="14341" width="6.5" style="69" customWidth="1"/>
    <col min="14342" max="14342" width="3.75" style="69" customWidth="1"/>
    <col min="14343" max="14344" width="8.75" style="69" customWidth="1"/>
    <col min="14345" max="14345" width="3.75" style="69" customWidth="1"/>
    <col min="14346" max="14346" width="15.5" style="69" customWidth="1"/>
    <col min="14347" max="14347" width="38.625" style="69" customWidth="1"/>
    <col min="14348" max="14348" width="4.25" style="69" customWidth="1"/>
    <col min="14349" max="14349" width="11.75" style="69" customWidth="1"/>
    <col min="14350" max="14350" width="11.375" style="69" bestFit="1" customWidth="1"/>
    <col min="14351" max="14369" width="0" style="69" hidden="1" customWidth="1"/>
    <col min="14370" max="14592" width="7" style="69"/>
    <col min="14593" max="14593" width="12.375" style="69" customWidth="1"/>
    <col min="14594" max="14595" width="7.625" style="69" customWidth="1"/>
    <col min="14596" max="14596" width="14.375" style="69" customWidth="1"/>
    <col min="14597" max="14597" width="6.5" style="69" customWidth="1"/>
    <col min="14598" max="14598" width="3.75" style="69" customWidth="1"/>
    <col min="14599" max="14600" width="8.75" style="69" customWidth="1"/>
    <col min="14601" max="14601" width="3.75" style="69" customWidth="1"/>
    <col min="14602" max="14602" width="15.5" style="69" customWidth="1"/>
    <col min="14603" max="14603" width="38.625" style="69" customWidth="1"/>
    <col min="14604" max="14604" width="4.25" style="69" customWidth="1"/>
    <col min="14605" max="14605" width="11.75" style="69" customWidth="1"/>
    <col min="14606" max="14606" width="11.375" style="69" bestFit="1" customWidth="1"/>
    <col min="14607" max="14625" width="0" style="69" hidden="1" customWidth="1"/>
    <col min="14626" max="14848" width="7" style="69"/>
    <col min="14849" max="14849" width="12.375" style="69" customWidth="1"/>
    <col min="14850" max="14851" width="7.625" style="69" customWidth="1"/>
    <col min="14852" max="14852" width="14.375" style="69" customWidth="1"/>
    <col min="14853" max="14853" width="6.5" style="69" customWidth="1"/>
    <col min="14854" max="14854" width="3.75" style="69" customWidth="1"/>
    <col min="14855" max="14856" width="8.75" style="69" customWidth="1"/>
    <col min="14857" max="14857" width="3.75" style="69" customWidth="1"/>
    <col min="14858" max="14858" width="15.5" style="69" customWidth="1"/>
    <col min="14859" max="14859" width="38.625" style="69" customWidth="1"/>
    <col min="14860" max="14860" width="4.25" style="69" customWidth="1"/>
    <col min="14861" max="14861" width="11.75" style="69" customWidth="1"/>
    <col min="14862" max="14862" width="11.375" style="69" bestFit="1" customWidth="1"/>
    <col min="14863" max="14881" width="0" style="69" hidden="1" customWidth="1"/>
    <col min="14882" max="15104" width="7" style="69"/>
    <col min="15105" max="15105" width="12.375" style="69" customWidth="1"/>
    <col min="15106" max="15107" width="7.625" style="69" customWidth="1"/>
    <col min="15108" max="15108" width="14.375" style="69" customWidth="1"/>
    <col min="15109" max="15109" width="6.5" style="69" customWidth="1"/>
    <col min="15110" max="15110" width="3.75" style="69" customWidth="1"/>
    <col min="15111" max="15112" width="8.75" style="69" customWidth="1"/>
    <col min="15113" max="15113" width="3.75" style="69" customWidth="1"/>
    <col min="15114" max="15114" width="15.5" style="69" customWidth="1"/>
    <col min="15115" max="15115" width="38.625" style="69" customWidth="1"/>
    <col min="15116" max="15116" width="4.25" style="69" customWidth="1"/>
    <col min="15117" max="15117" width="11.75" style="69" customWidth="1"/>
    <col min="15118" max="15118" width="11.375" style="69" bestFit="1" customWidth="1"/>
    <col min="15119" max="15137" width="0" style="69" hidden="1" customWidth="1"/>
    <col min="15138" max="15360" width="7" style="69"/>
    <col min="15361" max="15361" width="12.375" style="69" customWidth="1"/>
    <col min="15362" max="15363" width="7.625" style="69" customWidth="1"/>
    <col min="15364" max="15364" width="14.375" style="69" customWidth="1"/>
    <col min="15365" max="15365" width="6.5" style="69" customWidth="1"/>
    <col min="15366" max="15366" width="3.75" style="69" customWidth="1"/>
    <col min="15367" max="15368" width="8.75" style="69" customWidth="1"/>
    <col min="15369" max="15369" width="3.75" style="69" customWidth="1"/>
    <col min="15370" max="15370" width="15.5" style="69" customWidth="1"/>
    <col min="15371" max="15371" width="38.625" style="69" customWidth="1"/>
    <col min="15372" max="15372" width="4.25" style="69" customWidth="1"/>
    <col min="15373" max="15373" width="11.75" style="69" customWidth="1"/>
    <col min="15374" max="15374" width="11.375" style="69" bestFit="1" customWidth="1"/>
    <col min="15375" max="15393" width="0" style="69" hidden="1" customWidth="1"/>
    <col min="15394" max="15616" width="7" style="69"/>
    <col min="15617" max="15617" width="12.375" style="69" customWidth="1"/>
    <col min="15618" max="15619" width="7.625" style="69" customWidth="1"/>
    <col min="15620" max="15620" width="14.375" style="69" customWidth="1"/>
    <col min="15621" max="15621" width="6.5" style="69" customWidth="1"/>
    <col min="15622" max="15622" width="3.75" style="69" customWidth="1"/>
    <col min="15623" max="15624" width="8.75" style="69" customWidth="1"/>
    <col min="15625" max="15625" width="3.75" style="69" customWidth="1"/>
    <col min="15626" max="15626" width="15.5" style="69" customWidth="1"/>
    <col min="15627" max="15627" width="38.625" style="69" customWidth="1"/>
    <col min="15628" max="15628" width="4.25" style="69" customWidth="1"/>
    <col min="15629" max="15629" width="11.75" style="69" customWidth="1"/>
    <col min="15630" max="15630" width="11.375" style="69" bestFit="1" customWidth="1"/>
    <col min="15631" max="15649" width="0" style="69" hidden="1" customWidth="1"/>
    <col min="15650" max="15872" width="7" style="69"/>
    <col min="15873" max="15873" width="12.375" style="69" customWidth="1"/>
    <col min="15874" max="15875" width="7.625" style="69" customWidth="1"/>
    <col min="15876" max="15876" width="14.375" style="69" customWidth="1"/>
    <col min="15877" max="15877" width="6.5" style="69" customWidth="1"/>
    <col min="15878" max="15878" width="3.75" style="69" customWidth="1"/>
    <col min="15879" max="15880" width="8.75" style="69" customWidth="1"/>
    <col min="15881" max="15881" width="3.75" style="69" customWidth="1"/>
    <col min="15882" max="15882" width="15.5" style="69" customWidth="1"/>
    <col min="15883" max="15883" width="38.625" style="69" customWidth="1"/>
    <col min="15884" max="15884" width="4.25" style="69" customWidth="1"/>
    <col min="15885" max="15885" width="11.75" style="69" customWidth="1"/>
    <col min="15886" max="15886" width="11.375" style="69" bestFit="1" customWidth="1"/>
    <col min="15887" max="15905" width="0" style="69" hidden="1" customWidth="1"/>
    <col min="15906" max="16128" width="7" style="69"/>
    <col min="16129" max="16129" width="12.375" style="69" customWidth="1"/>
    <col min="16130" max="16131" width="7.625" style="69" customWidth="1"/>
    <col min="16132" max="16132" width="14.375" style="69" customWidth="1"/>
    <col min="16133" max="16133" width="6.5" style="69" customWidth="1"/>
    <col min="16134" max="16134" width="3.75" style="69" customWidth="1"/>
    <col min="16135" max="16136" width="8.75" style="69" customWidth="1"/>
    <col min="16137" max="16137" width="3.75" style="69" customWidth="1"/>
    <col min="16138" max="16138" width="15.5" style="69" customWidth="1"/>
    <col min="16139" max="16139" width="38.625" style="69" customWidth="1"/>
    <col min="16140" max="16140" width="4.25" style="69" customWidth="1"/>
    <col min="16141" max="16141" width="11.75" style="69" customWidth="1"/>
    <col min="16142" max="16142" width="11.375" style="69" bestFit="1" customWidth="1"/>
    <col min="16143" max="16161" width="0" style="69" hidden="1" customWidth="1"/>
    <col min="16162" max="16384" width="7" style="69"/>
  </cols>
  <sheetData>
    <row r="1" spans="1:33" ht="45" customHeight="1" x14ac:dyDescent="0.3">
      <c r="A1" s="460" t="s">
        <v>624</v>
      </c>
      <c r="B1" s="461"/>
      <c r="C1" s="461"/>
      <c r="D1" s="461"/>
      <c r="E1" s="461"/>
      <c r="F1" s="461"/>
      <c r="G1" s="461"/>
      <c r="H1" s="461"/>
      <c r="I1" s="461"/>
      <c r="J1" s="461"/>
      <c r="K1" s="462"/>
    </row>
    <row r="2" spans="1:33" ht="20.100000000000001" customHeight="1" x14ac:dyDescent="0.3">
      <c r="A2" s="129" t="e">
        <f>원가!C2</f>
        <v>#REF!</v>
      </c>
      <c r="B2" s="73"/>
      <c r="C2" s="73"/>
      <c r="D2" s="74"/>
      <c r="E2" s="74"/>
      <c r="F2" s="74"/>
      <c r="G2" s="74"/>
      <c r="H2" s="74"/>
      <c r="I2" s="74"/>
      <c r="J2" s="74"/>
      <c r="K2" s="130"/>
      <c r="M2" s="69" t="s">
        <v>625</v>
      </c>
    </row>
    <row r="3" spans="1:33" ht="20.100000000000001" customHeight="1" thickBot="1" x14ac:dyDescent="0.35">
      <c r="A3" s="204" t="s">
        <v>582</v>
      </c>
      <c r="B3" s="447" t="s">
        <v>457</v>
      </c>
      <c r="C3" s="508"/>
      <c r="D3" s="206" t="s">
        <v>626</v>
      </c>
      <c r="E3" s="206" t="s">
        <v>452</v>
      </c>
      <c r="F3" s="206" t="s">
        <v>533</v>
      </c>
      <c r="G3" s="447" t="s">
        <v>627</v>
      </c>
      <c r="H3" s="459"/>
      <c r="I3" s="508"/>
      <c r="J3" s="447" t="s">
        <v>472</v>
      </c>
      <c r="K3" s="448"/>
      <c r="L3" s="83"/>
      <c r="M3" s="300" t="s">
        <v>628</v>
      </c>
      <c r="N3" s="301">
        <v>28</v>
      </c>
      <c r="O3" s="302">
        <v>1</v>
      </c>
      <c r="P3" s="300" t="s">
        <v>629</v>
      </c>
      <c r="S3" s="303"/>
      <c r="T3" s="230"/>
      <c r="Y3" s="303"/>
      <c r="Z3" s="230"/>
      <c r="AE3" s="76" t="s">
        <v>630</v>
      </c>
      <c r="AF3" s="186">
        <v>499</v>
      </c>
      <c r="AG3" s="187" t="s">
        <v>559</v>
      </c>
    </row>
    <row r="4" spans="1:33" ht="20.100000000000001" customHeight="1" thickBot="1" x14ac:dyDescent="0.35">
      <c r="A4" s="145" t="s">
        <v>631</v>
      </c>
      <c r="B4" s="447" t="str">
        <f>IF($A$4=$A$13,$B13,$B15)</f>
        <v>매 1계약에 대하여 계약전력 5KW까지</v>
      </c>
      <c r="C4" s="459"/>
      <c r="D4" s="508"/>
      <c r="E4" s="131">
        <f>IF(A4=A13,1,N3)</f>
        <v>1</v>
      </c>
      <c r="F4" s="131" t="str">
        <f>IF(A4=A13,"식","KW")</f>
        <v>식</v>
      </c>
      <c r="G4" s="579">
        <f>IF(A4=A13,HLOOKUP($D$3,$G$12:$H$15,2,0),(HLOOKUP($D$3,$G$12:$H$15,4,0)*E4))</f>
        <v>472000</v>
      </c>
      <c r="H4" s="580"/>
      <c r="I4" s="304" t="str">
        <f>IF(G4=" "," ","원")</f>
        <v>원</v>
      </c>
      <c r="J4" s="152" t="str">
        <f>IF(G4=" "," ","부가가치세 별도")</f>
        <v>부가가치세 별도</v>
      </c>
      <c r="K4" s="305"/>
      <c r="L4" s="83"/>
      <c r="M4" s="300"/>
      <c r="N4" s="301"/>
      <c r="O4" s="302">
        <v>2</v>
      </c>
      <c r="P4" s="300" t="s">
        <v>632</v>
      </c>
    </row>
    <row r="5" spans="1:33" ht="20.100000000000001" customHeight="1" x14ac:dyDescent="0.3">
      <c r="A5" s="145"/>
      <c r="B5" s="447" t="str">
        <f>IF($A$4=$A$13,$B14," ")</f>
        <v>계약전력 5KW초과분의 매 1KW에 대하여</v>
      </c>
      <c r="C5" s="459"/>
      <c r="D5" s="508"/>
      <c r="E5" s="70">
        <f>IF(B5=" "," ",IF(N3&lt;=5," ",N3-5))</f>
        <v>23</v>
      </c>
      <c r="F5" s="131" t="str">
        <f>IF(E5=" "," ","KW")</f>
        <v>KW</v>
      </c>
      <c r="G5" s="429">
        <f>IF(E5=" "," ",HLOOKUP($D$3,$G$12:$H$15,3,0)*E5)</f>
        <v>2622000</v>
      </c>
      <c r="H5" s="455"/>
      <c r="I5" s="304" t="str">
        <f>IF(G5=" "," ","원")</f>
        <v>원</v>
      </c>
      <c r="J5" s="152" t="str">
        <f>IF(G5=" "," ","부가가치세 별도")</f>
        <v>부가가치세 별도</v>
      </c>
      <c r="K5" s="305"/>
      <c r="L5" s="92"/>
    </row>
    <row r="6" spans="1:33" ht="20.100000000000001" customHeight="1" x14ac:dyDescent="0.3">
      <c r="A6" s="306"/>
      <c r="B6" s="459"/>
      <c r="C6" s="459"/>
      <c r="D6" s="210"/>
      <c r="E6" s="210"/>
      <c r="F6" s="210"/>
      <c r="G6" s="307"/>
      <c r="H6" s="308"/>
      <c r="I6" s="308"/>
      <c r="J6" s="210"/>
      <c r="K6" s="305"/>
      <c r="L6" s="92"/>
      <c r="M6" s="577"/>
      <c r="N6" s="578"/>
      <c r="O6" s="302">
        <v>1</v>
      </c>
      <c r="P6" s="300" t="s">
        <v>474</v>
      </c>
    </row>
    <row r="7" spans="1:33" ht="20.100000000000001" customHeight="1" x14ac:dyDescent="0.3">
      <c r="A7" s="458" t="s">
        <v>467</v>
      </c>
      <c r="B7" s="459"/>
      <c r="C7" s="459"/>
      <c r="D7" s="508"/>
      <c r="E7" s="131">
        <f>N3</f>
        <v>28</v>
      </c>
      <c r="F7" s="131" t="str">
        <f>IF(E7=" "," ","KW")</f>
        <v>KW</v>
      </c>
      <c r="G7" s="429">
        <f>SUM(G4:H5)</f>
        <v>3094000</v>
      </c>
      <c r="H7" s="455"/>
      <c r="I7" s="304" t="str">
        <f>IF(G7=" "," ","원")</f>
        <v>원</v>
      </c>
      <c r="J7" s="309"/>
      <c r="K7" s="305"/>
      <c r="L7" s="92"/>
      <c r="M7" s="577"/>
      <c r="N7" s="578"/>
      <c r="O7" s="302">
        <v>2</v>
      </c>
      <c r="P7" s="300" t="s">
        <v>473</v>
      </c>
    </row>
    <row r="8" spans="1:33" ht="20.100000000000001" customHeight="1" x14ac:dyDescent="0.3">
      <c r="A8" s="458" t="s">
        <v>468</v>
      </c>
      <c r="B8" s="459"/>
      <c r="C8" s="459"/>
      <c r="D8" s="508"/>
      <c r="E8" s="70">
        <f>IF(G7=0,0,10)</f>
        <v>10</v>
      </c>
      <c r="F8" s="70" t="str">
        <f>IF(E8=0,0,"%")</f>
        <v>%</v>
      </c>
      <c r="G8" s="572">
        <f>(G7*E8)%</f>
        <v>309400</v>
      </c>
      <c r="H8" s="573"/>
      <c r="I8" s="304" t="str">
        <f>IF(G8=" "," ","원")</f>
        <v>원</v>
      </c>
      <c r="J8" s="97"/>
      <c r="K8" s="310"/>
      <c r="L8" s="92"/>
    </row>
    <row r="9" spans="1:33" ht="20.100000000000001" customHeight="1" x14ac:dyDescent="0.3">
      <c r="A9" s="511" t="s">
        <v>469</v>
      </c>
      <c r="B9" s="512"/>
      <c r="C9" s="512"/>
      <c r="D9" s="513"/>
      <c r="E9" s="135"/>
      <c r="F9" s="213"/>
      <c r="G9" s="451">
        <f>SUM(G7:G8)</f>
        <v>3403400</v>
      </c>
      <c r="H9" s="452"/>
      <c r="I9" s="311" t="str">
        <f>IF(G9=" "," ","원")</f>
        <v>원</v>
      </c>
      <c r="J9" s="160" t="str">
        <f>IF(G9=" "," ","부가가치세 포함")</f>
        <v>부가가치세 포함</v>
      </c>
      <c r="K9" s="312"/>
      <c r="L9" s="83"/>
      <c r="M9" s="313"/>
      <c r="N9" s="314"/>
      <c r="O9" s="315"/>
      <c r="P9" s="69">
        <f>IF($N$9&lt;$AF$3,1,2)</f>
        <v>1</v>
      </c>
      <c r="AC9" s="230" t="s">
        <v>559</v>
      </c>
    </row>
    <row r="10" spans="1:33" ht="20.100000000000001" customHeight="1" x14ac:dyDescent="0.3">
      <c r="A10" s="146"/>
      <c r="B10" s="74"/>
      <c r="C10" s="74"/>
      <c r="D10" s="74"/>
      <c r="E10" s="74"/>
      <c r="F10" s="74"/>
      <c r="G10" s="74"/>
      <c r="H10" s="74"/>
      <c r="I10" s="74"/>
      <c r="J10" s="74"/>
      <c r="K10" s="141" t="s">
        <v>459</v>
      </c>
      <c r="L10" s="83"/>
    </row>
    <row r="11" spans="1:33" ht="20.100000000000001" customHeight="1" thickBot="1" x14ac:dyDescent="0.35">
      <c r="A11" s="433" t="s">
        <v>470</v>
      </c>
      <c r="B11" s="434"/>
      <c r="C11" s="434"/>
      <c r="D11" s="434"/>
      <c r="E11" s="434"/>
      <c r="F11" s="435"/>
      <c r="G11" s="465" t="s">
        <v>471</v>
      </c>
      <c r="H11" s="494"/>
      <c r="I11" s="537" t="s">
        <v>533</v>
      </c>
      <c r="J11" s="440" t="s">
        <v>472</v>
      </c>
      <c r="K11" s="441"/>
      <c r="L11" s="83"/>
      <c r="M11" s="300" t="s">
        <v>536</v>
      </c>
      <c r="N11" s="301">
        <v>200</v>
      </c>
    </row>
    <row r="12" spans="1:33" ht="20.100000000000001" customHeight="1" thickBot="1" x14ac:dyDescent="0.35">
      <c r="A12" s="574"/>
      <c r="B12" s="575"/>
      <c r="C12" s="575"/>
      <c r="D12" s="575"/>
      <c r="E12" s="575"/>
      <c r="F12" s="576"/>
      <c r="G12" s="135" t="s">
        <v>473</v>
      </c>
      <c r="H12" s="135" t="s">
        <v>474</v>
      </c>
      <c r="I12" s="538"/>
      <c r="J12" s="365"/>
      <c r="K12" s="540"/>
      <c r="L12" s="83"/>
      <c r="M12" s="300" t="s">
        <v>537</v>
      </c>
      <c r="N12" s="301"/>
    </row>
    <row r="13" spans="1:33" ht="20.100000000000001" customHeight="1" x14ac:dyDescent="0.3">
      <c r="A13" s="535" t="s">
        <v>633</v>
      </c>
      <c r="B13" s="147" t="s">
        <v>476</v>
      </c>
      <c r="C13" s="148"/>
      <c r="D13" s="149"/>
      <c r="E13" s="149"/>
      <c r="F13" s="150"/>
      <c r="G13" s="316">
        <v>246000</v>
      </c>
      <c r="H13" s="316">
        <v>472000</v>
      </c>
      <c r="I13" s="317" t="s">
        <v>560</v>
      </c>
      <c r="J13" s="541" t="s">
        <v>477</v>
      </c>
      <c r="K13" s="542"/>
      <c r="L13" s="83"/>
    </row>
    <row r="14" spans="1:33" ht="20.100000000000001" customHeight="1" x14ac:dyDescent="0.3">
      <c r="A14" s="536"/>
      <c r="B14" s="152" t="s">
        <v>478</v>
      </c>
      <c r="C14" s="153"/>
      <c r="D14" s="154"/>
      <c r="E14" s="154"/>
      <c r="F14" s="155"/>
      <c r="G14" s="318">
        <v>98000</v>
      </c>
      <c r="H14" s="318">
        <v>114000</v>
      </c>
      <c r="I14" s="317" t="s">
        <v>560</v>
      </c>
      <c r="J14" s="157"/>
      <c r="K14" s="158"/>
      <c r="L14" s="69"/>
    </row>
    <row r="15" spans="1:33" ht="20.100000000000001" customHeight="1" x14ac:dyDescent="0.3">
      <c r="A15" s="132" t="s">
        <v>634</v>
      </c>
      <c r="B15" s="159" t="s">
        <v>466</v>
      </c>
      <c r="C15" s="159"/>
      <c r="D15" s="319"/>
      <c r="E15" s="161"/>
      <c r="F15" s="162"/>
      <c r="G15" s="320">
        <v>20000</v>
      </c>
      <c r="H15" s="320">
        <v>41000</v>
      </c>
      <c r="I15" s="321" t="s">
        <v>560</v>
      </c>
      <c r="J15" s="164"/>
      <c r="K15" s="165"/>
      <c r="L15" s="69"/>
    </row>
    <row r="16" spans="1:33" ht="20.100000000000001" customHeight="1" x14ac:dyDescent="0.3">
      <c r="A16" s="146" t="s">
        <v>635</v>
      </c>
      <c r="B16" s="102"/>
      <c r="C16" s="102"/>
      <c r="D16" s="103"/>
      <c r="E16" s="103"/>
      <c r="F16" s="140"/>
      <c r="G16" s="73"/>
      <c r="H16" s="74"/>
      <c r="I16" s="74"/>
      <c r="J16" s="102"/>
      <c r="K16" s="158"/>
      <c r="L16" s="69"/>
    </row>
    <row r="17" spans="1:29" ht="20.100000000000001" customHeight="1" x14ac:dyDescent="0.3">
      <c r="A17" s="146" t="s">
        <v>636</v>
      </c>
      <c r="B17" s="102"/>
      <c r="C17" s="102"/>
      <c r="D17" s="103"/>
      <c r="E17" s="103"/>
      <c r="F17" s="140"/>
      <c r="G17" s="73"/>
      <c r="H17" s="74"/>
      <c r="I17" s="74"/>
      <c r="J17" s="102"/>
      <c r="K17" s="158"/>
      <c r="L17" s="69"/>
    </row>
    <row r="18" spans="1:29" ht="20.100000000000001" customHeight="1" x14ac:dyDescent="0.3">
      <c r="A18" s="421" t="s">
        <v>637</v>
      </c>
      <c r="B18" s="362"/>
      <c r="C18" s="362"/>
      <c r="D18" s="362"/>
      <c r="E18" s="362"/>
      <c r="F18" s="362"/>
      <c r="G18" s="362"/>
      <c r="H18" s="362"/>
      <c r="I18" s="362"/>
      <c r="J18" s="362"/>
      <c r="K18" s="422"/>
      <c r="L18" s="69"/>
    </row>
    <row r="19" spans="1:29" ht="20.100000000000001" customHeight="1" x14ac:dyDescent="0.3">
      <c r="A19" s="421" t="s">
        <v>638</v>
      </c>
      <c r="B19" s="362"/>
      <c r="C19" s="362"/>
      <c r="D19" s="362"/>
      <c r="E19" s="362"/>
      <c r="F19" s="362"/>
      <c r="G19" s="362"/>
      <c r="H19" s="362"/>
      <c r="I19" s="362"/>
      <c r="J19" s="362"/>
      <c r="K19" s="422"/>
      <c r="L19" s="69"/>
    </row>
    <row r="20" spans="1:29" ht="20.100000000000001" customHeight="1" x14ac:dyDescent="0.3">
      <c r="A20" s="146" t="s">
        <v>639</v>
      </c>
      <c r="B20" s="102"/>
      <c r="C20" s="102"/>
      <c r="D20" s="105"/>
      <c r="E20" s="105"/>
      <c r="F20" s="140"/>
      <c r="G20" s="322"/>
      <c r="H20" s="140"/>
      <c r="I20" s="140"/>
      <c r="J20" s="102"/>
      <c r="K20" s="166"/>
      <c r="L20" s="83"/>
    </row>
    <row r="21" spans="1:29" ht="20.100000000000001" customHeight="1" x14ac:dyDescent="0.3">
      <c r="A21" s="146" t="s">
        <v>640</v>
      </c>
      <c r="B21" s="106"/>
      <c r="C21" s="106"/>
      <c r="D21" s="74"/>
      <c r="E21" s="74"/>
      <c r="F21" s="74"/>
      <c r="G21" s="74"/>
      <c r="H21" s="74"/>
      <c r="I21" s="74"/>
      <c r="J21" s="107"/>
      <c r="K21" s="166"/>
      <c r="L21" s="83"/>
    </row>
    <row r="22" spans="1:29" ht="20.100000000000001" customHeight="1" x14ac:dyDescent="0.3">
      <c r="A22" s="139"/>
      <c r="B22" s="104"/>
      <c r="C22" s="104"/>
      <c r="D22" s="74"/>
      <c r="E22" s="74"/>
      <c r="F22" s="74"/>
      <c r="G22" s="74"/>
      <c r="H22" s="74"/>
      <c r="I22" s="74"/>
      <c r="J22" s="107"/>
      <c r="K22" s="166"/>
      <c r="L22" s="83"/>
      <c r="AB22" s="387" t="e">
        <f>#REF!</f>
        <v>#REF!</v>
      </c>
      <c r="AC22" s="69" t="e">
        <f>#REF!</f>
        <v>#REF!</v>
      </c>
    </row>
    <row r="23" spans="1:29" ht="44.25" customHeight="1" thickBot="1" x14ac:dyDescent="0.35">
      <c r="A23" s="167"/>
      <c r="B23" s="168"/>
      <c r="C23" s="168"/>
      <c r="D23" s="169"/>
      <c r="E23" s="169"/>
      <c r="F23" s="170"/>
      <c r="G23" s="171"/>
      <c r="H23" s="170"/>
      <c r="I23" s="170"/>
      <c r="J23" s="168"/>
      <c r="K23" s="172"/>
      <c r="L23" s="552"/>
      <c r="M23" s="390"/>
      <c r="N23" s="323" t="s">
        <v>641</v>
      </c>
      <c r="AB23" s="387"/>
      <c r="AC23" s="69">
        <v>2</v>
      </c>
    </row>
    <row r="24" spans="1:29" ht="45" customHeight="1" x14ac:dyDescent="0.3">
      <c r="A24" s="496" t="s">
        <v>642</v>
      </c>
      <c r="B24" s="461"/>
      <c r="C24" s="461"/>
      <c r="D24" s="461"/>
      <c r="E24" s="461"/>
      <c r="F24" s="461"/>
      <c r="G24" s="461"/>
      <c r="H24" s="461"/>
      <c r="I24" s="461"/>
      <c r="J24" s="461"/>
      <c r="K24" s="462"/>
      <c r="Q24" s="324"/>
      <c r="T24" s="325"/>
      <c r="V24" s="569"/>
      <c r="W24" s="569"/>
    </row>
    <row r="25" spans="1:29" ht="20.100000000000001" customHeight="1" x14ac:dyDescent="0.3">
      <c r="A25" s="129" t="e">
        <f>$A$2</f>
        <v>#REF!</v>
      </c>
      <c r="B25" s="73"/>
      <c r="C25" s="73"/>
      <c r="D25" s="74"/>
      <c r="E25" s="74"/>
      <c r="F25" s="74"/>
      <c r="G25" s="74"/>
      <c r="H25" s="74"/>
      <c r="I25" s="74"/>
      <c r="J25" s="74"/>
      <c r="K25" s="130"/>
      <c r="P25" s="68"/>
      <c r="Q25" s="68"/>
      <c r="T25" s="325"/>
      <c r="V25" s="569"/>
      <c r="W25" s="569"/>
      <c r="X25" s="570"/>
      <c r="Y25" s="570"/>
      <c r="Z25" s="570"/>
      <c r="AA25" s="570"/>
    </row>
    <row r="26" spans="1:29" ht="20.100000000000001" customHeight="1" x14ac:dyDescent="0.3">
      <c r="A26" s="185" t="s">
        <v>531</v>
      </c>
      <c r="B26" s="439" t="str">
        <f>B3</f>
        <v>3Φ 4선식</v>
      </c>
      <c r="C26" s="464"/>
      <c r="D26" s="81" t="str">
        <f>D3</f>
        <v>지중공급</v>
      </c>
      <c r="E26" s="81" t="s">
        <v>452</v>
      </c>
      <c r="F26" s="81" t="s">
        <v>533</v>
      </c>
      <c r="G26" s="465" t="s">
        <v>643</v>
      </c>
      <c r="H26" s="466"/>
      <c r="I26" s="494"/>
      <c r="J26" s="439" t="s">
        <v>472</v>
      </c>
      <c r="K26" s="467"/>
      <c r="P26" s="68"/>
      <c r="Q26" s="68"/>
      <c r="T26" s="326"/>
      <c r="V26" s="569"/>
      <c r="W26" s="569"/>
      <c r="X26" s="570"/>
      <c r="Y26" s="570"/>
      <c r="Z26" s="570"/>
      <c r="AA26" s="570"/>
    </row>
    <row r="27" spans="1:29" ht="20.100000000000001" customHeight="1" x14ac:dyDescent="0.3">
      <c r="A27" s="145" t="s">
        <v>617</v>
      </c>
      <c r="B27" s="468" t="s">
        <v>644</v>
      </c>
      <c r="C27" s="468"/>
      <c r="D27" s="468"/>
      <c r="E27" s="209" t="str">
        <f>IF(B27=0,0,"1")</f>
        <v>1</v>
      </c>
      <c r="F27" s="131" t="str">
        <f>IF(E27=0,0,"식")</f>
        <v>식</v>
      </c>
      <c r="G27" s="571">
        <f>D35</f>
        <v>44000</v>
      </c>
      <c r="H27" s="429"/>
      <c r="I27" s="304" t="str">
        <f>IF(G27=" "," ","원")</f>
        <v>원</v>
      </c>
      <c r="J27" s="456" t="s">
        <v>463</v>
      </c>
      <c r="K27" s="457"/>
      <c r="P27" s="68"/>
      <c r="Q27" s="68"/>
      <c r="T27" s="325"/>
      <c r="U27" s="68"/>
      <c r="V27" s="569"/>
      <c r="W27" s="569"/>
      <c r="X27" s="570"/>
      <c r="Y27" s="570"/>
      <c r="Z27" s="570"/>
      <c r="AA27" s="570"/>
    </row>
    <row r="28" spans="1:29" ht="20.100000000000001" customHeight="1" x14ac:dyDescent="0.3">
      <c r="A28" s="145" t="s">
        <v>645</v>
      </c>
      <c r="B28" s="468"/>
      <c r="C28" s="468"/>
      <c r="D28" s="468"/>
      <c r="E28" s="209">
        <f>N3</f>
        <v>28</v>
      </c>
      <c r="F28" s="131" t="str">
        <f>IF(E28=0,0,"KW")</f>
        <v>KW</v>
      </c>
      <c r="G28" s="571">
        <f>G35*E30</f>
        <v>29652</v>
      </c>
      <c r="H28" s="429"/>
      <c r="I28" s="304" t="str">
        <f>IF(G28=" "," ","원")</f>
        <v>원</v>
      </c>
      <c r="J28" s="456" t="s">
        <v>463</v>
      </c>
      <c r="K28" s="457"/>
      <c r="M28" s="180"/>
      <c r="P28" s="68"/>
      <c r="Q28" s="68"/>
      <c r="U28" s="68"/>
      <c r="V28" s="569"/>
      <c r="W28" s="569"/>
      <c r="X28" s="570"/>
      <c r="Y28" s="570"/>
      <c r="Z28" s="570"/>
      <c r="AA28" s="570"/>
    </row>
    <row r="29" spans="1:29" ht="20.100000000000001" customHeight="1" x14ac:dyDescent="0.3">
      <c r="A29" s="458"/>
      <c r="B29" s="459"/>
      <c r="C29" s="459"/>
      <c r="D29" s="459"/>
      <c r="E29" s="210"/>
      <c r="F29" s="211"/>
      <c r="G29" s="459"/>
      <c r="H29" s="459"/>
      <c r="I29" s="308"/>
      <c r="J29" s="459"/>
      <c r="K29" s="448"/>
      <c r="P29" s="68"/>
      <c r="Q29" s="68"/>
      <c r="U29" s="68"/>
      <c r="V29" s="569"/>
      <c r="W29" s="569"/>
      <c r="X29" s="570"/>
      <c r="Y29" s="570"/>
      <c r="Z29" s="570"/>
      <c r="AA29" s="570"/>
    </row>
    <row r="30" spans="1:29" ht="20.100000000000001" customHeight="1" x14ac:dyDescent="0.3">
      <c r="A30" s="445" t="s">
        <v>467</v>
      </c>
      <c r="B30" s="444"/>
      <c r="C30" s="444"/>
      <c r="D30" s="444"/>
      <c r="E30" s="209">
        <f>E28</f>
        <v>28</v>
      </c>
      <c r="F30" s="131" t="str">
        <f>IF(E30=0,0,"KW")</f>
        <v>KW</v>
      </c>
      <c r="G30" s="446">
        <f>SUM(G27:H28)</f>
        <v>73652</v>
      </c>
      <c r="H30" s="447"/>
      <c r="I30" s="304" t="str">
        <f>IF(G30=" "," ","원")</f>
        <v>원</v>
      </c>
      <c r="J30" s="447"/>
      <c r="K30" s="448"/>
      <c r="P30" s="68"/>
      <c r="Q30" s="68"/>
      <c r="U30" s="68"/>
      <c r="V30" s="569"/>
      <c r="W30" s="569"/>
      <c r="X30" s="570"/>
      <c r="Y30" s="570"/>
      <c r="Z30" s="570"/>
      <c r="AA30" s="570"/>
    </row>
    <row r="31" spans="1:29" ht="20.100000000000001" customHeight="1" x14ac:dyDescent="0.3">
      <c r="A31" s="445" t="s">
        <v>468</v>
      </c>
      <c r="B31" s="444"/>
      <c r="C31" s="444"/>
      <c r="D31" s="444"/>
      <c r="E31" s="70">
        <f>IF(G30=0,0,10)</f>
        <v>10</v>
      </c>
      <c r="F31" s="70" t="str">
        <f>IF(E31=0,0,"%")</f>
        <v>%</v>
      </c>
      <c r="G31" s="446">
        <f>G30*E31%</f>
        <v>7365.2000000000007</v>
      </c>
      <c r="H31" s="447"/>
      <c r="I31" s="304" t="str">
        <f>IF(G31=" "," ","원")</f>
        <v>원</v>
      </c>
      <c r="J31" s="447"/>
      <c r="K31" s="448"/>
      <c r="P31" s="68"/>
      <c r="Q31" s="68"/>
      <c r="R31" s="68"/>
      <c r="S31" s="68"/>
    </row>
    <row r="32" spans="1:29" ht="20.100000000000001" customHeight="1" x14ac:dyDescent="0.3">
      <c r="A32" s="563" t="s">
        <v>469</v>
      </c>
      <c r="B32" s="564"/>
      <c r="C32" s="564"/>
      <c r="D32" s="564"/>
      <c r="E32" s="206"/>
      <c r="F32" s="327"/>
      <c r="G32" s="565">
        <f>SUM(F30:G31)</f>
        <v>81017.2</v>
      </c>
      <c r="H32" s="566"/>
      <c r="I32" s="328" t="str">
        <f>IF(G32=" "," ","원")</f>
        <v>원</v>
      </c>
      <c r="J32" s="567" t="s">
        <v>486</v>
      </c>
      <c r="K32" s="568"/>
    </row>
    <row r="33" spans="1:16" ht="20.100000000000001" customHeight="1" x14ac:dyDescent="0.3">
      <c r="A33" s="182"/>
      <c r="B33" s="183"/>
      <c r="C33" s="183"/>
      <c r="D33" s="183"/>
      <c r="E33" s="183"/>
      <c r="F33" s="183"/>
      <c r="G33" s="183"/>
      <c r="H33" s="183"/>
      <c r="I33" s="183"/>
      <c r="J33" s="183"/>
      <c r="K33" s="184" t="s">
        <v>459</v>
      </c>
    </row>
    <row r="34" spans="1:16" ht="20.100000000000001" customHeight="1" x14ac:dyDescent="0.3">
      <c r="A34" s="532" t="s">
        <v>487</v>
      </c>
      <c r="B34" s="466"/>
      <c r="C34" s="494"/>
      <c r="D34" s="465" t="s">
        <v>646</v>
      </c>
      <c r="E34" s="466"/>
      <c r="F34" s="494"/>
      <c r="G34" s="465" t="s">
        <v>647</v>
      </c>
      <c r="H34" s="466"/>
      <c r="I34" s="494"/>
      <c r="J34" s="538" t="s">
        <v>472</v>
      </c>
      <c r="K34" s="558"/>
    </row>
    <row r="35" spans="1:16" ht="20.100000000000001" customHeight="1" x14ac:dyDescent="0.3">
      <c r="A35" s="511" t="s">
        <v>648</v>
      </c>
      <c r="B35" s="512"/>
      <c r="C35" s="513"/>
      <c r="D35" s="559">
        <v>44000</v>
      </c>
      <c r="E35" s="560"/>
      <c r="F35" s="135" t="s">
        <v>649</v>
      </c>
      <c r="G35" s="479">
        <v>1059</v>
      </c>
      <c r="H35" s="513"/>
      <c r="I35" s="135" t="s">
        <v>649</v>
      </c>
      <c r="J35" s="561"/>
      <c r="K35" s="562"/>
    </row>
    <row r="36" spans="1:16" ht="20.100000000000001" customHeight="1" x14ac:dyDescent="0.3">
      <c r="A36" s="146" t="s">
        <v>635</v>
      </c>
      <c r="B36" s="107"/>
      <c r="C36" s="107"/>
      <c r="D36" s="74"/>
      <c r="E36" s="74"/>
      <c r="F36" s="103"/>
      <c r="G36" s="74"/>
      <c r="H36" s="74"/>
      <c r="I36" s="74"/>
      <c r="J36" s="74"/>
      <c r="K36" s="166"/>
    </row>
    <row r="37" spans="1:16" ht="20.100000000000001" customHeight="1" x14ac:dyDescent="0.3">
      <c r="A37" s="146" t="s">
        <v>650</v>
      </c>
      <c r="B37" s="107"/>
      <c r="C37" s="107"/>
      <c r="D37" s="74"/>
      <c r="E37" s="74"/>
      <c r="F37" s="103"/>
      <c r="G37" s="74"/>
      <c r="H37" s="74"/>
      <c r="I37" s="74"/>
      <c r="J37" s="107"/>
      <c r="K37" s="166"/>
    </row>
    <row r="38" spans="1:16" ht="20.100000000000001" customHeight="1" x14ac:dyDescent="0.3">
      <c r="A38" s="146"/>
      <c r="B38" s="107"/>
      <c r="C38" s="107"/>
      <c r="D38" s="74"/>
      <c r="E38" s="74"/>
      <c r="F38" s="103"/>
      <c r="G38" s="74"/>
      <c r="H38" s="74"/>
      <c r="I38" s="74"/>
      <c r="J38" s="107"/>
      <c r="K38" s="166"/>
    </row>
    <row r="39" spans="1:16" ht="20.100000000000001" customHeight="1" x14ac:dyDescent="0.3">
      <c r="A39" s="146"/>
      <c r="B39" s="107"/>
      <c r="C39" s="107"/>
      <c r="D39" s="74"/>
      <c r="E39" s="74"/>
      <c r="F39" s="103"/>
      <c r="G39" s="74"/>
      <c r="H39" s="74"/>
      <c r="I39" s="74"/>
      <c r="J39" s="107"/>
      <c r="K39" s="166"/>
    </row>
    <row r="40" spans="1:16" ht="20.100000000000001" customHeight="1" x14ac:dyDescent="0.3">
      <c r="A40" s="146"/>
      <c r="B40" s="107"/>
      <c r="C40" s="107"/>
      <c r="D40" s="74"/>
      <c r="E40" s="74"/>
      <c r="F40" s="103"/>
      <c r="G40" s="74"/>
      <c r="H40" s="74"/>
      <c r="I40" s="74"/>
      <c r="J40" s="107"/>
      <c r="K40" s="166"/>
    </row>
    <row r="41" spans="1:16" ht="20.100000000000001" customHeight="1" x14ac:dyDescent="0.3">
      <c r="A41" s="146"/>
      <c r="B41" s="107"/>
      <c r="C41" s="107"/>
      <c r="D41" s="74"/>
      <c r="E41" s="74"/>
      <c r="F41" s="103"/>
      <c r="G41" s="74"/>
      <c r="H41" s="74"/>
      <c r="I41" s="74"/>
      <c r="J41" s="107"/>
      <c r="K41" s="166"/>
    </row>
    <row r="42" spans="1:16" ht="20.100000000000001" customHeight="1" x14ac:dyDescent="0.3">
      <c r="A42" s="146"/>
      <c r="B42" s="107"/>
      <c r="C42" s="107"/>
      <c r="D42" s="74"/>
      <c r="E42" s="74"/>
      <c r="F42" s="103"/>
      <c r="G42" s="74"/>
      <c r="H42" s="74"/>
      <c r="I42" s="74"/>
      <c r="J42" s="107"/>
      <c r="K42" s="166"/>
    </row>
    <row r="43" spans="1:16" ht="20.100000000000001" customHeight="1" x14ac:dyDescent="0.3">
      <c r="A43" s="146"/>
      <c r="B43" s="107"/>
      <c r="C43" s="107"/>
      <c r="D43" s="74"/>
      <c r="E43" s="74"/>
      <c r="F43" s="103"/>
      <c r="G43" s="74"/>
      <c r="H43" s="74"/>
      <c r="I43" s="74"/>
      <c r="J43" s="107"/>
      <c r="K43" s="166"/>
    </row>
    <row r="44" spans="1:16" ht="20.100000000000001" customHeight="1" x14ac:dyDescent="0.3">
      <c r="A44" s="146"/>
      <c r="B44" s="107"/>
      <c r="C44" s="107"/>
      <c r="D44" s="74"/>
      <c r="E44" s="74"/>
      <c r="F44" s="103"/>
      <c r="G44" s="74"/>
      <c r="H44" s="74"/>
      <c r="I44" s="74"/>
      <c r="J44" s="107"/>
      <c r="K44" s="166"/>
    </row>
    <row r="45" spans="1:16" ht="20.100000000000001" customHeight="1" x14ac:dyDescent="0.3">
      <c r="A45" s="146"/>
      <c r="B45" s="107"/>
      <c r="C45" s="107"/>
      <c r="D45" s="74"/>
      <c r="E45" s="74"/>
      <c r="F45" s="103"/>
      <c r="G45" s="74"/>
      <c r="H45" s="74"/>
      <c r="I45" s="74"/>
      <c r="J45" s="107"/>
      <c r="K45" s="166"/>
    </row>
    <row r="46" spans="1:16" ht="20.100000000000001" customHeight="1" x14ac:dyDescent="0.3">
      <c r="A46" s="146"/>
      <c r="B46" s="107"/>
      <c r="C46" s="107"/>
      <c r="D46" s="74"/>
      <c r="E46" s="74"/>
      <c r="F46" s="103"/>
      <c r="G46" s="74"/>
      <c r="H46" s="74"/>
      <c r="I46" s="74"/>
      <c r="J46" s="107"/>
      <c r="K46" s="166"/>
    </row>
    <row r="47" spans="1:16" ht="20.100000000000001" customHeight="1" x14ac:dyDescent="0.3">
      <c r="A47" s="146"/>
      <c r="B47" s="107"/>
      <c r="C47" s="107"/>
      <c r="D47" s="74"/>
      <c r="E47" s="74"/>
      <c r="F47" s="103"/>
      <c r="G47" s="74"/>
      <c r="H47" s="74"/>
      <c r="I47" s="74"/>
      <c r="J47" s="107"/>
      <c r="K47" s="166"/>
      <c r="M47" s="387" t="s">
        <v>651</v>
      </c>
      <c r="N47" s="387"/>
      <c r="O47" s="387"/>
      <c r="P47" s="387"/>
    </row>
    <row r="48" spans="1:16" ht="20.100000000000001" customHeight="1" thickBot="1" x14ac:dyDescent="0.35">
      <c r="A48" s="167"/>
      <c r="B48" s="168"/>
      <c r="C48" s="168"/>
      <c r="D48" s="195"/>
      <c r="E48" s="195"/>
      <c r="F48" s="169"/>
      <c r="G48" s="195"/>
      <c r="H48" s="195"/>
      <c r="I48" s="195"/>
      <c r="J48" s="168"/>
      <c r="K48" s="172"/>
      <c r="M48" s="557"/>
      <c r="N48" s="557"/>
      <c r="O48" s="557"/>
      <c r="P48" s="557"/>
    </row>
  </sheetData>
  <sheetProtection formatCells="0" formatColumns="0" formatRows="0" insertColumns="0" insertRows="0" insertHyperlinks="0" deleteColumns="0" deleteRows="0" selectLockedCells="1" sort="0" autoFilter="0" pivotTables="0"/>
  <mergeCells count="71">
    <mergeCell ref="A1:K1"/>
    <mergeCell ref="B3:C3"/>
    <mergeCell ref="G3:I3"/>
    <mergeCell ref="J3:K3"/>
    <mergeCell ref="B4:D4"/>
    <mergeCell ref="G4:H4"/>
    <mergeCell ref="B5:D5"/>
    <mergeCell ref="G5:H5"/>
    <mergeCell ref="B6:C6"/>
    <mergeCell ref="M6:M7"/>
    <mergeCell ref="N6:N7"/>
    <mergeCell ref="A7:D7"/>
    <mergeCell ref="G7:H7"/>
    <mergeCell ref="A19:K19"/>
    <mergeCell ref="A8:D8"/>
    <mergeCell ref="G8:H8"/>
    <mergeCell ref="A9:D9"/>
    <mergeCell ref="G9:H9"/>
    <mergeCell ref="A11:F12"/>
    <mergeCell ref="G11:H11"/>
    <mergeCell ref="I11:I12"/>
    <mergeCell ref="J11:K12"/>
    <mergeCell ref="A13:A14"/>
    <mergeCell ref="J13:K13"/>
    <mergeCell ref="A18:K18"/>
    <mergeCell ref="AB22:AB23"/>
    <mergeCell ref="L23:M23"/>
    <mergeCell ref="A24:K24"/>
    <mergeCell ref="V24:W24"/>
    <mergeCell ref="V25:W25"/>
    <mergeCell ref="X25:AA25"/>
    <mergeCell ref="B27:D27"/>
    <mergeCell ref="G27:H27"/>
    <mergeCell ref="J27:K27"/>
    <mergeCell ref="V27:W27"/>
    <mergeCell ref="X27:AA27"/>
    <mergeCell ref="B26:C26"/>
    <mergeCell ref="G26:I26"/>
    <mergeCell ref="J26:K26"/>
    <mergeCell ref="V26:W26"/>
    <mergeCell ref="X26:AA26"/>
    <mergeCell ref="V28:W28"/>
    <mergeCell ref="X28:AA28"/>
    <mergeCell ref="A29:D29"/>
    <mergeCell ref="G29:H29"/>
    <mergeCell ref="J29:K29"/>
    <mergeCell ref="V29:W29"/>
    <mergeCell ref="X29:AA29"/>
    <mergeCell ref="B28:D28"/>
    <mergeCell ref="G28:H28"/>
    <mergeCell ref="J28:K28"/>
    <mergeCell ref="A30:D30"/>
    <mergeCell ref="G30:H30"/>
    <mergeCell ref="J30:K30"/>
    <mergeCell ref="V30:W30"/>
    <mergeCell ref="X30:AA30"/>
    <mergeCell ref="A32:D32"/>
    <mergeCell ref="G32:H32"/>
    <mergeCell ref="J32:K32"/>
    <mergeCell ref="A31:D31"/>
    <mergeCell ref="G31:H31"/>
    <mergeCell ref="J31:K31"/>
    <mergeCell ref="M47:P48"/>
    <mergeCell ref="A34:C34"/>
    <mergeCell ref="D34:F34"/>
    <mergeCell ref="G34:I34"/>
    <mergeCell ref="J34:K34"/>
    <mergeCell ref="A35:C35"/>
    <mergeCell ref="D35:E35"/>
    <mergeCell ref="G35:H35"/>
    <mergeCell ref="J35:K35"/>
  </mergeCells>
  <phoneticPr fontId="1" type="noConversion"/>
  <dataValidations count="3">
    <dataValidation type="list" allowBlank="1" showInputMessage="1" showErrorMessage="1" sqref="B3:C3 IX3:IY3 ST3:SU3 ACP3:ACQ3 AML3:AMM3 AWH3:AWI3 BGD3:BGE3 BPZ3:BQA3 BZV3:BZW3 CJR3:CJS3 CTN3:CTO3 DDJ3:DDK3 DNF3:DNG3 DXB3:DXC3 EGX3:EGY3 EQT3:EQU3 FAP3:FAQ3 FKL3:FKM3 FUH3:FUI3 GED3:GEE3 GNZ3:GOA3 GXV3:GXW3 HHR3:HHS3 HRN3:HRO3 IBJ3:IBK3 ILF3:ILG3 IVB3:IVC3 JEX3:JEY3 JOT3:JOU3 JYP3:JYQ3 KIL3:KIM3 KSH3:KSI3 LCD3:LCE3 LLZ3:LMA3 LVV3:LVW3 MFR3:MFS3 MPN3:MPO3 MZJ3:MZK3 NJF3:NJG3 NTB3:NTC3 OCX3:OCY3 OMT3:OMU3 OWP3:OWQ3 PGL3:PGM3 PQH3:PQI3 QAD3:QAE3 QJZ3:QKA3 QTV3:QTW3 RDR3:RDS3 RNN3:RNO3 RXJ3:RXK3 SHF3:SHG3 SRB3:SRC3 TAX3:TAY3 TKT3:TKU3 TUP3:TUQ3 UEL3:UEM3 UOH3:UOI3 UYD3:UYE3 VHZ3:VIA3 VRV3:VRW3 WBR3:WBS3 WLN3:WLO3 WVJ3:WVK3 B65539:C65539 IX65539:IY65539 ST65539:SU65539 ACP65539:ACQ65539 AML65539:AMM65539 AWH65539:AWI65539 BGD65539:BGE65539 BPZ65539:BQA65539 BZV65539:BZW65539 CJR65539:CJS65539 CTN65539:CTO65539 DDJ65539:DDK65539 DNF65539:DNG65539 DXB65539:DXC65539 EGX65539:EGY65539 EQT65539:EQU65539 FAP65539:FAQ65539 FKL65539:FKM65539 FUH65539:FUI65539 GED65539:GEE65539 GNZ65539:GOA65539 GXV65539:GXW65539 HHR65539:HHS65539 HRN65539:HRO65539 IBJ65539:IBK65539 ILF65539:ILG65539 IVB65539:IVC65539 JEX65539:JEY65539 JOT65539:JOU65539 JYP65539:JYQ65539 KIL65539:KIM65539 KSH65539:KSI65539 LCD65539:LCE65539 LLZ65539:LMA65539 LVV65539:LVW65539 MFR65539:MFS65539 MPN65539:MPO65539 MZJ65539:MZK65539 NJF65539:NJG65539 NTB65539:NTC65539 OCX65539:OCY65539 OMT65539:OMU65539 OWP65539:OWQ65539 PGL65539:PGM65539 PQH65539:PQI65539 QAD65539:QAE65539 QJZ65539:QKA65539 QTV65539:QTW65539 RDR65539:RDS65539 RNN65539:RNO65539 RXJ65539:RXK65539 SHF65539:SHG65539 SRB65539:SRC65539 TAX65539:TAY65539 TKT65539:TKU65539 TUP65539:TUQ65539 UEL65539:UEM65539 UOH65539:UOI65539 UYD65539:UYE65539 VHZ65539:VIA65539 VRV65539:VRW65539 WBR65539:WBS65539 WLN65539:WLO65539 WVJ65539:WVK65539 B131075:C131075 IX131075:IY131075 ST131075:SU131075 ACP131075:ACQ131075 AML131075:AMM131075 AWH131075:AWI131075 BGD131075:BGE131075 BPZ131075:BQA131075 BZV131075:BZW131075 CJR131075:CJS131075 CTN131075:CTO131075 DDJ131075:DDK131075 DNF131075:DNG131075 DXB131075:DXC131075 EGX131075:EGY131075 EQT131075:EQU131075 FAP131075:FAQ131075 FKL131075:FKM131075 FUH131075:FUI131075 GED131075:GEE131075 GNZ131075:GOA131075 GXV131075:GXW131075 HHR131075:HHS131075 HRN131075:HRO131075 IBJ131075:IBK131075 ILF131075:ILG131075 IVB131075:IVC131075 JEX131075:JEY131075 JOT131075:JOU131075 JYP131075:JYQ131075 KIL131075:KIM131075 KSH131075:KSI131075 LCD131075:LCE131075 LLZ131075:LMA131075 LVV131075:LVW131075 MFR131075:MFS131075 MPN131075:MPO131075 MZJ131075:MZK131075 NJF131075:NJG131075 NTB131075:NTC131075 OCX131075:OCY131075 OMT131075:OMU131075 OWP131075:OWQ131075 PGL131075:PGM131075 PQH131075:PQI131075 QAD131075:QAE131075 QJZ131075:QKA131075 QTV131075:QTW131075 RDR131075:RDS131075 RNN131075:RNO131075 RXJ131075:RXK131075 SHF131075:SHG131075 SRB131075:SRC131075 TAX131075:TAY131075 TKT131075:TKU131075 TUP131075:TUQ131075 UEL131075:UEM131075 UOH131075:UOI131075 UYD131075:UYE131075 VHZ131075:VIA131075 VRV131075:VRW131075 WBR131075:WBS131075 WLN131075:WLO131075 WVJ131075:WVK131075 B196611:C196611 IX196611:IY196611 ST196611:SU196611 ACP196611:ACQ196611 AML196611:AMM196611 AWH196611:AWI196611 BGD196611:BGE196611 BPZ196611:BQA196611 BZV196611:BZW196611 CJR196611:CJS196611 CTN196611:CTO196611 DDJ196611:DDK196611 DNF196611:DNG196611 DXB196611:DXC196611 EGX196611:EGY196611 EQT196611:EQU196611 FAP196611:FAQ196611 FKL196611:FKM196611 FUH196611:FUI196611 GED196611:GEE196611 GNZ196611:GOA196611 GXV196611:GXW196611 HHR196611:HHS196611 HRN196611:HRO196611 IBJ196611:IBK196611 ILF196611:ILG196611 IVB196611:IVC196611 JEX196611:JEY196611 JOT196611:JOU196611 JYP196611:JYQ196611 KIL196611:KIM196611 KSH196611:KSI196611 LCD196611:LCE196611 LLZ196611:LMA196611 LVV196611:LVW196611 MFR196611:MFS196611 MPN196611:MPO196611 MZJ196611:MZK196611 NJF196611:NJG196611 NTB196611:NTC196611 OCX196611:OCY196611 OMT196611:OMU196611 OWP196611:OWQ196611 PGL196611:PGM196611 PQH196611:PQI196611 QAD196611:QAE196611 QJZ196611:QKA196611 QTV196611:QTW196611 RDR196611:RDS196611 RNN196611:RNO196611 RXJ196611:RXK196611 SHF196611:SHG196611 SRB196611:SRC196611 TAX196611:TAY196611 TKT196611:TKU196611 TUP196611:TUQ196611 UEL196611:UEM196611 UOH196611:UOI196611 UYD196611:UYE196611 VHZ196611:VIA196611 VRV196611:VRW196611 WBR196611:WBS196611 WLN196611:WLO196611 WVJ196611:WVK196611 B262147:C262147 IX262147:IY262147 ST262147:SU262147 ACP262147:ACQ262147 AML262147:AMM262147 AWH262147:AWI262147 BGD262147:BGE262147 BPZ262147:BQA262147 BZV262147:BZW262147 CJR262147:CJS262147 CTN262147:CTO262147 DDJ262147:DDK262147 DNF262147:DNG262147 DXB262147:DXC262147 EGX262147:EGY262147 EQT262147:EQU262147 FAP262147:FAQ262147 FKL262147:FKM262147 FUH262147:FUI262147 GED262147:GEE262147 GNZ262147:GOA262147 GXV262147:GXW262147 HHR262147:HHS262147 HRN262147:HRO262147 IBJ262147:IBK262147 ILF262147:ILG262147 IVB262147:IVC262147 JEX262147:JEY262147 JOT262147:JOU262147 JYP262147:JYQ262147 KIL262147:KIM262147 KSH262147:KSI262147 LCD262147:LCE262147 LLZ262147:LMA262147 LVV262147:LVW262147 MFR262147:MFS262147 MPN262147:MPO262147 MZJ262147:MZK262147 NJF262147:NJG262147 NTB262147:NTC262147 OCX262147:OCY262147 OMT262147:OMU262147 OWP262147:OWQ262147 PGL262147:PGM262147 PQH262147:PQI262147 QAD262147:QAE262147 QJZ262147:QKA262147 QTV262147:QTW262147 RDR262147:RDS262147 RNN262147:RNO262147 RXJ262147:RXK262147 SHF262147:SHG262147 SRB262147:SRC262147 TAX262147:TAY262147 TKT262147:TKU262147 TUP262147:TUQ262147 UEL262147:UEM262147 UOH262147:UOI262147 UYD262147:UYE262147 VHZ262147:VIA262147 VRV262147:VRW262147 WBR262147:WBS262147 WLN262147:WLO262147 WVJ262147:WVK262147 B327683:C327683 IX327683:IY327683 ST327683:SU327683 ACP327683:ACQ327683 AML327683:AMM327683 AWH327683:AWI327683 BGD327683:BGE327683 BPZ327683:BQA327683 BZV327683:BZW327683 CJR327683:CJS327683 CTN327683:CTO327683 DDJ327683:DDK327683 DNF327683:DNG327683 DXB327683:DXC327683 EGX327683:EGY327683 EQT327683:EQU327683 FAP327683:FAQ327683 FKL327683:FKM327683 FUH327683:FUI327683 GED327683:GEE327683 GNZ327683:GOA327683 GXV327683:GXW327683 HHR327683:HHS327683 HRN327683:HRO327683 IBJ327683:IBK327683 ILF327683:ILG327683 IVB327683:IVC327683 JEX327683:JEY327683 JOT327683:JOU327683 JYP327683:JYQ327683 KIL327683:KIM327683 KSH327683:KSI327683 LCD327683:LCE327683 LLZ327683:LMA327683 LVV327683:LVW327683 MFR327683:MFS327683 MPN327683:MPO327683 MZJ327683:MZK327683 NJF327683:NJG327683 NTB327683:NTC327683 OCX327683:OCY327683 OMT327683:OMU327683 OWP327683:OWQ327683 PGL327683:PGM327683 PQH327683:PQI327683 QAD327683:QAE327683 QJZ327683:QKA327683 QTV327683:QTW327683 RDR327683:RDS327683 RNN327683:RNO327683 RXJ327683:RXK327683 SHF327683:SHG327683 SRB327683:SRC327683 TAX327683:TAY327683 TKT327683:TKU327683 TUP327683:TUQ327683 UEL327683:UEM327683 UOH327683:UOI327683 UYD327683:UYE327683 VHZ327683:VIA327683 VRV327683:VRW327683 WBR327683:WBS327683 WLN327683:WLO327683 WVJ327683:WVK327683 B393219:C393219 IX393219:IY393219 ST393219:SU393219 ACP393219:ACQ393219 AML393219:AMM393219 AWH393219:AWI393219 BGD393219:BGE393219 BPZ393219:BQA393219 BZV393219:BZW393219 CJR393219:CJS393219 CTN393219:CTO393219 DDJ393219:DDK393219 DNF393219:DNG393219 DXB393219:DXC393219 EGX393219:EGY393219 EQT393219:EQU393219 FAP393219:FAQ393219 FKL393219:FKM393219 FUH393219:FUI393219 GED393219:GEE393219 GNZ393219:GOA393219 GXV393219:GXW393219 HHR393219:HHS393219 HRN393219:HRO393219 IBJ393219:IBK393219 ILF393219:ILG393219 IVB393219:IVC393219 JEX393219:JEY393219 JOT393219:JOU393219 JYP393219:JYQ393219 KIL393219:KIM393219 KSH393219:KSI393219 LCD393219:LCE393219 LLZ393219:LMA393219 LVV393219:LVW393219 MFR393219:MFS393219 MPN393219:MPO393219 MZJ393219:MZK393219 NJF393219:NJG393219 NTB393219:NTC393219 OCX393219:OCY393219 OMT393219:OMU393219 OWP393219:OWQ393219 PGL393219:PGM393219 PQH393219:PQI393219 QAD393219:QAE393219 QJZ393219:QKA393219 QTV393219:QTW393219 RDR393219:RDS393219 RNN393219:RNO393219 RXJ393219:RXK393219 SHF393219:SHG393219 SRB393219:SRC393219 TAX393219:TAY393219 TKT393219:TKU393219 TUP393219:TUQ393219 UEL393219:UEM393219 UOH393219:UOI393219 UYD393219:UYE393219 VHZ393219:VIA393219 VRV393219:VRW393219 WBR393219:WBS393219 WLN393219:WLO393219 WVJ393219:WVK393219 B458755:C458755 IX458755:IY458755 ST458755:SU458755 ACP458755:ACQ458755 AML458755:AMM458755 AWH458755:AWI458755 BGD458755:BGE458755 BPZ458755:BQA458755 BZV458755:BZW458755 CJR458755:CJS458755 CTN458755:CTO458755 DDJ458755:DDK458755 DNF458755:DNG458755 DXB458755:DXC458755 EGX458755:EGY458755 EQT458755:EQU458755 FAP458755:FAQ458755 FKL458755:FKM458755 FUH458755:FUI458755 GED458755:GEE458755 GNZ458755:GOA458755 GXV458755:GXW458755 HHR458755:HHS458755 HRN458755:HRO458755 IBJ458755:IBK458755 ILF458755:ILG458755 IVB458755:IVC458755 JEX458755:JEY458755 JOT458755:JOU458755 JYP458755:JYQ458755 KIL458755:KIM458755 KSH458755:KSI458755 LCD458755:LCE458755 LLZ458755:LMA458755 LVV458755:LVW458755 MFR458755:MFS458755 MPN458755:MPO458755 MZJ458755:MZK458755 NJF458755:NJG458755 NTB458755:NTC458755 OCX458755:OCY458755 OMT458755:OMU458755 OWP458755:OWQ458755 PGL458755:PGM458755 PQH458755:PQI458755 QAD458755:QAE458755 QJZ458755:QKA458755 QTV458755:QTW458755 RDR458755:RDS458755 RNN458755:RNO458755 RXJ458755:RXK458755 SHF458755:SHG458755 SRB458755:SRC458755 TAX458755:TAY458755 TKT458755:TKU458755 TUP458755:TUQ458755 UEL458755:UEM458755 UOH458755:UOI458755 UYD458755:UYE458755 VHZ458755:VIA458755 VRV458755:VRW458755 WBR458755:WBS458755 WLN458755:WLO458755 WVJ458755:WVK458755 B524291:C524291 IX524291:IY524291 ST524291:SU524291 ACP524291:ACQ524291 AML524291:AMM524291 AWH524291:AWI524291 BGD524291:BGE524291 BPZ524291:BQA524291 BZV524291:BZW524291 CJR524291:CJS524291 CTN524291:CTO524291 DDJ524291:DDK524291 DNF524291:DNG524291 DXB524291:DXC524291 EGX524291:EGY524291 EQT524291:EQU524291 FAP524291:FAQ524291 FKL524291:FKM524291 FUH524291:FUI524291 GED524291:GEE524291 GNZ524291:GOA524291 GXV524291:GXW524291 HHR524291:HHS524291 HRN524291:HRO524291 IBJ524291:IBK524291 ILF524291:ILG524291 IVB524291:IVC524291 JEX524291:JEY524291 JOT524291:JOU524291 JYP524291:JYQ524291 KIL524291:KIM524291 KSH524291:KSI524291 LCD524291:LCE524291 LLZ524291:LMA524291 LVV524291:LVW524291 MFR524291:MFS524291 MPN524291:MPO524291 MZJ524291:MZK524291 NJF524291:NJG524291 NTB524291:NTC524291 OCX524291:OCY524291 OMT524291:OMU524291 OWP524291:OWQ524291 PGL524291:PGM524291 PQH524291:PQI524291 QAD524291:QAE524291 QJZ524291:QKA524291 QTV524291:QTW524291 RDR524291:RDS524291 RNN524291:RNO524291 RXJ524291:RXK524291 SHF524291:SHG524291 SRB524291:SRC524291 TAX524291:TAY524291 TKT524291:TKU524291 TUP524291:TUQ524291 UEL524291:UEM524291 UOH524291:UOI524291 UYD524291:UYE524291 VHZ524291:VIA524291 VRV524291:VRW524291 WBR524291:WBS524291 WLN524291:WLO524291 WVJ524291:WVK524291 B589827:C589827 IX589827:IY589827 ST589827:SU589827 ACP589827:ACQ589827 AML589827:AMM589827 AWH589827:AWI589827 BGD589827:BGE589827 BPZ589827:BQA589827 BZV589827:BZW589827 CJR589827:CJS589827 CTN589827:CTO589827 DDJ589827:DDK589827 DNF589827:DNG589827 DXB589827:DXC589827 EGX589827:EGY589827 EQT589827:EQU589827 FAP589827:FAQ589827 FKL589827:FKM589827 FUH589827:FUI589827 GED589827:GEE589827 GNZ589827:GOA589827 GXV589827:GXW589827 HHR589827:HHS589827 HRN589827:HRO589827 IBJ589827:IBK589827 ILF589827:ILG589827 IVB589827:IVC589827 JEX589827:JEY589827 JOT589827:JOU589827 JYP589827:JYQ589827 KIL589827:KIM589827 KSH589827:KSI589827 LCD589827:LCE589827 LLZ589827:LMA589827 LVV589827:LVW589827 MFR589827:MFS589827 MPN589827:MPO589827 MZJ589827:MZK589827 NJF589827:NJG589827 NTB589827:NTC589827 OCX589827:OCY589827 OMT589827:OMU589827 OWP589827:OWQ589827 PGL589827:PGM589827 PQH589827:PQI589827 QAD589827:QAE589827 QJZ589827:QKA589827 QTV589827:QTW589827 RDR589827:RDS589827 RNN589827:RNO589827 RXJ589827:RXK589827 SHF589827:SHG589827 SRB589827:SRC589827 TAX589827:TAY589827 TKT589827:TKU589827 TUP589827:TUQ589827 UEL589827:UEM589827 UOH589827:UOI589827 UYD589827:UYE589827 VHZ589827:VIA589827 VRV589827:VRW589827 WBR589827:WBS589827 WLN589827:WLO589827 WVJ589827:WVK589827 B655363:C655363 IX655363:IY655363 ST655363:SU655363 ACP655363:ACQ655363 AML655363:AMM655363 AWH655363:AWI655363 BGD655363:BGE655363 BPZ655363:BQA655363 BZV655363:BZW655363 CJR655363:CJS655363 CTN655363:CTO655363 DDJ655363:DDK655363 DNF655363:DNG655363 DXB655363:DXC655363 EGX655363:EGY655363 EQT655363:EQU655363 FAP655363:FAQ655363 FKL655363:FKM655363 FUH655363:FUI655363 GED655363:GEE655363 GNZ655363:GOA655363 GXV655363:GXW655363 HHR655363:HHS655363 HRN655363:HRO655363 IBJ655363:IBK655363 ILF655363:ILG655363 IVB655363:IVC655363 JEX655363:JEY655363 JOT655363:JOU655363 JYP655363:JYQ655363 KIL655363:KIM655363 KSH655363:KSI655363 LCD655363:LCE655363 LLZ655363:LMA655363 LVV655363:LVW655363 MFR655363:MFS655363 MPN655363:MPO655363 MZJ655363:MZK655363 NJF655363:NJG655363 NTB655363:NTC655363 OCX655363:OCY655363 OMT655363:OMU655363 OWP655363:OWQ655363 PGL655363:PGM655363 PQH655363:PQI655363 QAD655363:QAE655363 QJZ655363:QKA655363 QTV655363:QTW655363 RDR655363:RDS655363 RNN655363:RNO655363 RXJ655363:RXK655363 SHF655363:SHG655363 SRB655363:SRC655363 TAX655363:TAY655363 TKT655363:TKU655363 TUP655363:TUQ655363 UEL655363:UEM655363 UOH655363:UOI655363 UYD655363:UYE655363 VHZ655363:VIA655363 VRV655363:VRW655363 WBR655363:WBS655363 WLN655363:WLO655363 WVJ655363:WVK655363 B720899:C720899 IX720899:IY720899 ST720899:SU720899 ACP720899:ACQ720899 AML720899:AMM720899 AWH720899:AWI720899 BGD720899:BGE720899 BPZ720899:BQA720899 BZV720899:BZW720899 CJR720899:CJS720899 CTN720899:CTO720899 DDJ720899:DDK720899 DNF720899:DNG720899 DXB720899:DXC720899 EGX720899:EGY720899 EQT720899:EQU720899 FAP720899:FAQ720899 FKL720899:FKM720899 FUH720899:FUI720899 GED720899:GEE720899 GNZ720899:GOA720899 GXV720899:GXW720899 HHR720899:HHS720899 HRN720899:HRO720899 IBJ720899:IBK720899 ILF720899:ILG720899 IVB720899:IVC720899 JEX720899:JEY720899 JOT720899:JOU720899 JYP720899:JYQ720899 KIL720899:KIM720899 KSH720899:KSI720899 LCD720899:LCE720899 LLZ720899:LMA720899 LVV720899:LVW720899 MFR720899:MFS720899 MPN720899:MPO720899 MZJ720899:MZK720899 NJF720899:NJG720899 NTB720899:NTC720899 OCX720899:OCY720899 OMT720899:OMU720899 OWP720899:OWQ720899 PGL720899:PGM720899 PQH720899:PQI720899 QAD720899:QAE720899 QJZ720899:QKA720899 QTV720899:QTW720899 RDR720899:RDS720899 RNN720899:RNO720899 RXJ720899:RXK720899 SHF720899:SHG720899 SRB720899:SRC720899 TAX720899:TAY720899 TKT720899:TKU720899 TUP720899:TUQ720899 UEL720899:UEM720899 UOH720899:UOI720899 UYD720899:UYE720899 VHZ720899:VIA720899 VRV720899:VRW720899 WBR720899:WBS720899 WLN720899:WLO720899 WVJ720899:WVK720899 B786435:C786435 IX786435:IY786435 ST786435:SU786435 ACP786435:ACQ786435 AML786435:AMM786435 AWH786435:AWI786435 BGD786435:BGE786435 BPZ786435:BQA786435 BZV786435:BZW786435 CJR786435:CJS786435 CTN786435:CTO786435 DDJ786435:DDK786435 DNF786435:DNG786435 DXB786435:DXC786435 EGX786435:EGY786435 EQT786435:EQU786435 FAP786435:FAQ786435 FKL786435:FKM786435 FUH786435:FUI786435 GED786435:GEE786435 GNZ786435:GOA786435 GXV786435:GXW786435 HHR786435:HHS786435 HRN786435:HRO786435 IBJ786435:IBK786435 ILF786435:ILG786435 IVB786435:IVC786435 JEX786435:JEY786435 JOT786435:JOU786435 JYP786435:JYQ786435 KIL786435:KIM786435 KSH786435:KSI786435 LCD786435:LCE786435 LLZ786435:LMA786435 LVV786435:LVW786435 MFR786435:MFS786435 MPN786435:MPO786435 MZJ786435:MZK786435 NJF786435:NJG786435 NTB786435:NTC786435 OCX786435:OCY786435 OMT786435:OMU786435 OWP786435:OWQ786435 PGL786435:PGM786435 PQH786435:PQI786435 QAD786435:QAE786435 QJZ786435:QKA786435 QTV786435:QTW786435 RDR786435:RDS786435 RNN786435:RNO786435 RXJ786435:RXK786435 SHF786435:SHG786435 SRB786435:SRC786435 TAX786435:TAY786435 TKT786435:TKU786435 TUP786435:TUQ786435 UEL786435:UEM786435 UOH786435:UOI786435 UYD786435:UYE786435 VHZ786435:VIA786435 VRV786435:VRW786435 WBR786435:WBS786435 WLN786435:WLO786435 WVJ786435:WVK786435 B851971:C851971 IX851971:IY851971 ST851971:SU851971 ACP851971:ACQ851971 AML851971:AMM851971 AWH851971:AWI851971 BGD851971:BGE851971 BPZ851971:BQA851971 BZV851971:BZW851971 CJR851971:CJS851971 CTN851971:CTO851971 DDJ851971:DDK851971 DNF851971:DNG851971 DXB851971:DXC851971 EGX851971:EGY851971 EQT851971:EQU851971 FAP851971:FAQ851971 FKL851971:FKM851971 FUH851971:FUI851971 GED851971:GEE851971 GNZ851971:GOA851971 GXV851971:GXW851971 HHR851971:HHS851971 HRN851971:HRO851971 IBJ851971:IBK851971 ILF851971:ILG851971 IVB851971:IVC851971 JEX851971:JEY851971 JOT851971:JOU851971 JYP851971:JYQ851971 KIL851971:KIM851971 KSH851971:KSI851971 LCD851971:LCE851971 LLZ851971:LMA851971 LVV851971:LVW851971 MFR851971:MFS851971 MPN851971:MPO851971 MZJ851971:MZK851971 NJF851971:NJG851971 NTB851971:NTC851971 OCX851971:OCY851971 OMT851971:OMU851971 OWP851971:OWQ851971 PGL851971:PGM851971 PQH851971:PQI851971 QAD851971:QAE851971 QJZ851971:QKA851971 QTV851971:QTW851971 RDR851971:RDS851971 RNN851971:RNO851971 RXJ851971:RXK851971 SHF851971:SHG851971 SRB851971:SRC851971 TAX851971:TAY851971 TKT851971:TKU851971 TUP851971:TUQ851971 UEL851971:UEM851971 UOH851971:UOI851971 UYD851971:UYE851971 VHZ851971:VIA851971 VRV851971:VRW851971 WBR851971:WBS851971 WLN851971:WLO851971 WVJ851971:WVK851971 B917507:C917507 IX917507:IY917507 ST917507:SU917507 ACP917507:ACQ917507 AML917507:AMM917507 AWH917507:AWI917507 BGD917507:BGE917507 BPZ917507:BQA917507 BZV917507:BZW917507 CJR917507:CJS917507 CTN917507:CTO917507 DDJ917507:DDK917507 DNF917507:DNG917507 DXB917507:DXC917507 EGX917507:EGY917507 EQT917507:EQU917507 FAP917507:FAQ917507 FKL917507:FKM917507 FUH917507:FUI917507 GED917507:GEE917507 GNZ917507:GOA917507 GXV917507:GXW917507 HHR917507:HHS917507 HRN917507:HRO917507 IBJ917507:IBK917507 ILF917507:ILG917507 IVB917507:IVC917507 JEX917507:JEY917507 JOT917507:JOU917507 JYP917507:JYQ917507 KIL917507:KIM917507 KSH917507:KSI917507 LCD917507:LCE917507 LLZ917507:LMA917507 LVV917507:LVW917507 MFR917507:MFS917507 MPN917507:MPO917507 MZJ917507:MZK917507 NJF917507:NJG917507 NTB917507:NTC917507 OCX917507:OCY917507 OMT917507:OMU917507 OWP917507:OWQ917507 PGL917507:PGM917507 PQH917507:PQI917507 QAD917507:QAE917507 QJZ917507:QKA917507 QTV917507:QTW917507 RDR917507:RDS917507 RNN917507:RNO917507 RXJ917507:RXK917507 SHF917507:SHG917507 SRB917507:SRC917507 TAX917507:TAY917507 TKT917507:TKU917507 TUP917507:TUQ917507 UEL917507:UEM917507 UOH917507:UOI917507 UYD917507:UYE917507 VHZ917507:VIA917507 VRV917507:VRW917507 WBR917507:WBS917507 WLN917507:WLO917507 WVJ917507:WVK917507 B983043:C983043 IX983043:IY983043 ST983043:SU983043 ACP983043:ACQ983043 AML983043:AMM983043 AWH983043:AWI983043 BGD983043:BGE983043 BPZ983043:BQA983043 BZV983043:BZW983043 CJR983043:CJS983043 CTN983043:CTO983043 DDJ983043:DDK983043 DNF983043:DNG983043 DXB983043:DXC983043 EGX983043:EGY983043 EQT983043:EQU983043 FAP983043:FAQ983043 FKL983043:FKM983043 FUH983043:FUI983043 GED983043:GEE983043 GNZ983043:GOA983043 GXV983043:GXW983043 HHR983043:HHS983043 HRN983043:HRO983043 IBJ983043:IBK983043 ILF983043:ILG983043 IVB983043:IVC983043 JEX983043:JEY983043 JOT983043:JOU983043 JYP983043:JYQ983043 KIL983043:KIM983043 KSH983043:KSI983043 LCD983043:LCE983043 LLZ983043:LMA983043 LVV983043:LVW983043 MFR983043:MFS983043 MPN983043:MPO983043 MZJ983043:MZK983043 NJF983043:NJG983043 NTB983043:NTC983043 OCX983043:OCY983043 OMT983043:OMU983043 OWP983043:OWQ983043 PGL983043:PGM983043 PQH983043:PQI983043 QAD983043:QAE983043 QJZ983043:QKA983043 QTV983043:QTW983043 RDR983043:RDS983043 RNN983043:RNO983043 RXJ983043:RXK983043 SHF983043:SHG983043 SRB983043:SRC983043 TAX983043:TAY983043 TKT983043:TKU983043 TUP983043:TUQ983043 UEL983043:UEM983043 UOH983043:UOI983043 UYD983043:UYE983043 VHZ983043:VIA983043 VRV983043:VRW983043 WBR983043:WBS983043 WLN983043:WLO983043 WVJ983043:WVK983043" xr:uid="{4B394AC9-87FA-4D36-940C-74A011D8A996}">
      <formula1>$P$3:$P$4</formula1>
    </dataValidation>
    <dataValidation type="list" allowBlank="1" showInputMessage="1" showErrorMessage="1" sqref="D3 IZ3 SV3 ACR3 AMN3 AWJ3 BGF3 BQB3 BZX3 CJT3 CTP3 DDL3 DNH3 DXD3 EGZ3 EQV3 FAR3 FKN3 FUJ3 GEF3 GOB3 GXX3 HHT3 HRP3 IBL3 ILH3 IVD3 JEZ3 JOV3 JYR3 KIN3 KSJ3 LCF3 LMB3 LVX3 MFT3 MPP3 MZL3 NJH3 NTD3 OCZ3 OMV3 OWR3 PGN3 PQJ3 QAF3 QKB3 QTX3 RDT3 RNP3 RXL3 SHH3 SRD3 TAZ3 TKV3 TUR3 UEN3 UOJ3 UYF3 VIB3 VRX3 WBT3 WLP3 WVL3 D65539 IZ65539 SV65539 ACR65539 AMN65539 AWJ65539 BGF65539 BQB65539 BZX65539 CJT65539 CTP65539 DDL65539 DNH65539 DXD65539 EGZ65539 EQV65539 FAR65539 FKN65539 FUJ65539 GEF65539 GOB65539 GXX65539 HHT65539 HRP65539 IBL65539 ILH65539 IVD65539 JEZ65539 JOV65539 JYR65539 KIN65539 KSJ65539 LCF65539 LMB65539 LVX65539 MFT65539 MPP65539 MZL65539 NJH65539 NTD65539 OCZ65539 OMV65539 OWR65539 PGN65539 PQJ65539 QAF65539 QKB65539 QTX65539 RDT65539 RNP65539 RXL65539 SHH65539 SRD65539 TAZ65539 TKV65539 TUR65539 UEN65539 UOJ65539 UYF65539 VIB65539 VRX65539 WBT65539 WLP65539 WVL65539 D131075 IZ131075 SV131075 ACR131075 AMN131075 AWJ131075 BGF131075 BQB131075 BZX131075 CJT131075 CTP131075 DDL131075 DNH131075 DXD131075 EGZ131075 EQV131075 FAR131075 FKN131075 FUJ131075 GEF131075 GOB131075 GXX131075 HHT131075 HRP131075 IBL131075 ILH131075 IVD131075 JEZ131075 JOV131075 JYR131075 KIN131075 KSJ131075 LCF131075 LMB131075 LVX131075 MFT131075 MPP131075 MZL131075 NJH131075 NTD131075 OCZ131075 OMV131075 OWR131075 PGN131075 PQJ131075 QAF131075 QKB131075 QTX131075 RDT131075 RNP131075 RXL131075 SHH131075 SRD131075 TAZ131075 TKV131075 TUR131075 UEN131075 UOJ131075 UYF131075 VIB131075 VRX131075 WBT131075 WLP131075 WVL131075 D196611 IZ196611 SV196611 ACR196611 AMN196611 AWJ196611 BGF196611 BQB196611 BZX196611 CJT196611 CTP196611 DDL196611 DNH196611 DXD196611 EGZ196611 EQV196611 FAR196611 FKN196611 FUJ196611 GEF196611 GOB196611 GXX196611 HHT196611 HRP196611 IBL196611 ILH196611 IVD196611 JEZ196611 JOV196611 JYR196611 KIN196611 KSJ196611 LCF196611 LMB196611 LVX196611 MFT196611 MPP196611 MZL196611 NJH196611 NTD196611 OCZ196611 OMV196611 OWR196611 PGN196611 PQJ196611 QAF196611 QKB196611 QTX196611 RDT196611 RNP196611 RXL196611 SHH196611 SRD196611 TAZ196611 TKV196611 TUR196611 UEN196611 UOJ196611 UYF196611 VIB196611 VRX196611 WBT196611 WLP196611 WVL196611 D262147 IZ262147 SV262147 ACR262147 AMN262147 AWJ262147 BGF262147 BQB262147 BZX262147 CJT262147 CTP262147 DDL262147 DNH262147 DXD262147 EGZ262147 EQV262147 FAR262147 FKN262147 FUJ262147 GEF262147 GOB262147 GXX262147 HHT262147 HRP262147 IBL262147 ILH262147 IVD262147 JEZ262147 JOV262147 JYR262147 KIN262147 KSJ262147 LCF262147 LMB262147 LVX262147 MFT262147 MPP262147 MZL262147 NJH262147 NTD262147 OCZ262147 OMV262147 OWR262147 PGN262147 PQJ262147 QAF262147 QKB262147 QTX262147 RDT262147 RNP262147 RXL262147 SHH262147 SRD262147 TAZ262147 TKV262147 TUR262147 UEN262147 UOJ262147 UYF262147 VIB262147 VRX262147 WBT262147 WLP262147 WVL262147 D327683 IZ327683 SV327683 ACR327683 AMN327683 AWJ327683 BGF327683 BQB327683 BZX327683 CJT327683 CTP327683 DDL327683 DNH327683 DXD327683 EGZ327683 EQV327683 FAR327683 FKN327683 FUJ327683 GEF327683 GOB327683 GXX327683 HHT327683 HRP327683 IBL327683 ILH327683 IVD327683 JEZ327683 JOV327683 JYR327683 KIN327683 KSJ327683 LCF327683 LMB327683 LVX327683 MFT327683 MPP327683 MZL327683 NJH327683 NTD327683 OCZ327683 OMV327683 OWR327683 PGN327683 PQJ327683 QAF327683 QKB327683 QTX327683 RDT327683 RNP327683 RXL327683 SHH327683 SRD327683 TAZ327683 TKV327683 TUR327683 UEN327683 UOJ327683 UYF327683 VIB327683 VRX327683 WBT327683 WLP327683 WVL327683 D393219 IZ393219 SV393219 ACR393219 AMN393219 AWJ393219 BGF393219 BQB393219 BZX393219 CJT393219 CTP393219 DDL393219 DNH393219 DXD393219 EGZ393219 EQV393219 FAR393219 FKN393219 FUJ393219 GEF393219 GOB393219 GXX393219 HHT393219 HRP393219 IBL393219 ILH393219 IVD393219 JEZ393219 JOV393219 JYR393219 KIN393219 KSJ393219 LCF393219 LMB393219 LVX393219 MFT393219 MPP393219 MZL393219 NJH393219 NTD393219 OCZ393219 OMV393219 OWR393219 PGN393219 PQJ393219 QAF393219 QKB393219 QTX393219 RDT393219 RNP393219 RXL393219 SHH393219 SRD393219 TAZ393219 TKV393219 TUR393219 UEN393219 UOJ393219 UYF393219 VIB393219 VRX393219 WBT393219 WLP393219 WVL393219 D458755 IZ458755 SV458755 ACR458755 AMN458755 AWJ458755 BGF458755 BQB458755 BZX458755 CJT458755 CTP458755 DDL458755 DNH458755 DXD458755 EGZ458755 EQV458755 FAR458755 FKN458755 FUJ458755 GEF458755 GOB458755 GXX458755 HHT458755 HRP458755 IBL458755 ILH458755 IVD458755 JEZ458755 JOV458755 JYR458755 KIN458755 KSJ458755 LCF458755 LMB458755 LVX458755 MFT458755 MPP458755 MZL458755 NJH458755 NTD458755 OCZ458755 OMV458755 OWR458755 PGN458755 PQJ458755 QAF458755 QKB458755 QTX458755 RDT458755 RNP458755 RXL458755 SHH458755 SRD458755 TAZ458755 TKV458755 TUR458755 UEN458755 UOJ458755 UYF458755 VIB458755 VRX458755 WBT458755 WLP458755 WVL458755 D524291 IZ524291 SV524291 ACR524291 AMN524291 AWJ524291 BGF524291 BQB524291 BZX524291 CJT524291 CTP524291 DDL524291 DNH524291 DXD524291 EGZ524291 EQV524291 FAR524291 FKN524291 FUJ524291 GEF524291 GOB524291 GXX524291 HHT524291 HRP524291 IBL524291 ILH524291 IVD524291 JEZ524291 JOV524291 JYR524291 KIN524291 KSJ524291 LCF524291 LMB524291 LVX524291 MFT524291 MPP524291 MZL524291 NJH524291 NTD524291 OCZ524291 OMV524291 OWR524291 PGN524291 PQJ524291 QAF524291 QKB524291 QTX524291 RDT524291 RNP524291 RXL524291 SHH524291 SRD524291 TAZ524291 TKV524291 TUR524291 UEN524291 UOJ524291 UYF524291 VIB524291 VRX524291 WBT524291 WLP524291 WVL524291 D589827 IZ589827 SV589827 ACR589827 AMN589827 AWJ589827 BGF589827 BQB589827 BZX589827 CJT589827 CTP589827 DDL589827 DNH589827 DXD589827 EGZ589827 EQV589827 FAR589827 FKN589827 FUJ589827 GEF589827 GOB589827 GXX589827 HHT589827 HRP589827 IBL589827 ILH589827 IVD589827 JEZ589827 JOV589827 JYR589827 KIN589827 KSJ589827 LCF589827 LMB589827 LVX589827 MFT589827 MPP589827 MZL589827 NJH589827 NTD589827 OCZ589827 OMV589827 OWR589827 PGN589827 PQJ589827 QAF589827 QKB589827 QTX589827 RDT589827 RNP589827 RXL589827 SHH589827 SRD589827 TAZ589827 TKV589827 TUR589827 UEN589827 UOJ589827 UYF589827 VIB589827 VRX589827 WBT589827 WLP589827 WVL589827 D655363 IZ655363 SV655363 ACR655363 AMN655363 AWJ655363 BGF655363 BQB655363 BZX655363 CJT655363 CTP655363 DDL655363 DNH655363 DXD655363 EGZ655363 EQV655363 FAR655363 FKN655363 FUJ655363 GEF655363 GOB655363 GXX655363 HHT655363 HRP655363 IBL655363 ILH655363 IVD655363 JEZ655363 JOV655363 JYR655363 KIN655363 KSJ655363 LCF655363 LMB655363 LVX655363 MFT655363 MPP655363 MZL655363 NJH655363 NTD655363 OCZ655363 OMV655363 OWR655363 PGN655363 PQJ655363 QAF655363 QKB655363 QTX655363 RDT655363 RNP655363 RXL655363 SHH655363 SRD655363 TAZ655363 TKV655363 TUR655363 UEN655363 UOJ655363 UYF655363 VIB655363 VRX655363 WBT655363 WLP655363 WVL655363 D720899 IZ720899 SV720899 ACR720899 AMN720899 AWJ720899 BGF720899 BQB720899 BZX720899 CJT720899 CTP720899 DDL720899 DNH720899 DXD720899 EGZ720899 EQV720899 FAR720899 FKN720899 FUJ720899 GEF720899 GOB720899 GXX720899 HHT720899 HRP720899 IBL720899 ILH720899 IVD720899 JEZ720899 JOV720899 JYR720899 KIN720899 KSJ720899 LCF720899 LMB720899 LVX720899 MFT720899 MPP720899 MZL720899 NJH720899 NTD720899 OCZ720899 OMV720899 OWR720899 PGN720899 PQJ720899 QAF720899 QKB720899 QTX720899 RDT720899 RNP720899 RXL720899 SHH720899 SRD720899 TAZ720899 TKV720899 TUR720899 UEN720899 UOJ720899 UYF720899 VIB720899 VRX720899 WBT720899 WLP720899 WVL720899 D786435 IZ786435 SV786435 ACR786435 AMN786435 AWJ786435 BGF786435 BQB786435 BZX786435 CJT786435 CTP786435 DDL786435 DNH786435 DXD786435 EGZ786435 EQV786435 FAR786435 FKN786435 FUJ786435 GEF786435 GOB786435 GXX786435 HHT786435 HRP786435 IBL786435 ILH786435 IVD786435 JEZ786435 JOV786435 JYR786435 KIN786435 KSJ786435 LCF786435 LMB786435 LVX786435 MFT786435 MPP786435 MZL786435 NJH786435 NTD786435 OCZ786435 OMV786435 OWR786435 PGN786435 PQJ786435 QAF786435 QKB786435 QTX786435 RDT786435 RNP786435 RXL786435 SHH786435 SRD786435 TAZ786435 TKV786435 TUR786435 UEN786435 UOJ786435 UYF786435 VIB786435 VRX786435 WBT786435 WLP786435 WVL786435 D851971 IZ851971 SV851971 ACR851971 AMN851971 AWJ851971 BGF851971 BQB851971 BZX851971 CJT851971 CTP851971 DDL851971 DNH851971 DXD851971 EGZ851971 EQV851971 FAR851971 FKN851971 FUJ851971 GEF851971 GOB851971 GXX851971 HHT851971 HRP851971 IBL851971 ILH851971 IVD851971 JEZ851971 JOV851971 JYR851971 KIN851971 KSJ851971 LCF851971 LMB851971 LVX851971 MFT851971 MPP851971 MZL851971 NJH851971 NTD851971 OCZ851971 OMV851971 OWR851971 PGN851971 PQJ851971 QAF851971 QKB851971 QTX851971 RDT851971 RNP851971 RXL851971 SHH851971 SRD851971 TAZ851971 TKV851971 TUR851971 UEN851971 UOJ851971 UYF851971 VIB851971 VRX851971 WBT851971 WLP851971 WVL851971 D917507 IZ917507 SV917507 ACR917507 AMN917507 AWJ917507 BGF917507 BQB917507 BZX917507 CJT917507 CTP917507 DDL917507 DNH917507 DXD917507 EGZ917507 EQV917507 FAR917507 FKN917507 FUJ917507 GEF917507 GOB917507 GXX917507 HHT917507 HRP917507 IBL917507 ILH917507 IVD917507 JEZ917507 JOV917507 JYR917507 KIN917507 KSJ917507 LCF917507 LMB917507 LVX917507 MFT917507 MPP917507 MZL917507 NJH917507 NTD917507 OCZ917507 OMV917507 OWR917507 PGN917507 PQJ917507 QAF917507 QKB917507 QTX917507 RDT917507 RNP917507 RXL917507 SHH917507 SRD917507 TAZ917507 TKV917507 TUR917507 UEN917507 UOJ917507 UYF917507 VIB917507 VRX917507 WBT917507 WLP917507 WVL917507 D983043 IZ983043 SV983043 ACR983043 AMN983043 AWJ983043 BGF983043 BQB983043 BZX983043 CJT983043 CTP983043 DDL983043 DNH983043 DXD983043 EGZ983043 EQV983043 FAR983043 FKN983043 FUJ983043 GEF983043 GOB983043 GXX983043 HHT983043 HRP983043 IBL983043 ILH983043 IVD983043 JEZ983043 JOV983043 JYR983043 KIN983043 KSJ983043 LCF983043 LMB983043 LVX983043 MFT983043 MPP983043 MZL983043 NJH983043 NTD983043 OCZ983043 OMV983043 OWR983043 PGN983043 PQJ983043 QAF983043 QKB983043 QTX983043 RDT983043 RNP983043 RXL983043 SHH983043 SRD983043 TAZ983043 TKV983043 TUR983043 UEN983043 UOJ983043 UYF983043 VIB983043 VRX983043 WBT983043 WLP983043 WVL983043" xr:uid="{435423D8-750D-420D-869A-A2BFB6011975}">
      <formula1>$G$12:$H$12</formula1>
    </dataValidation>
    <dataValidation type="list" allowBlank="1" showInputMessage="1" showErrorMessage="1" sqref="A4 IW4 SS4 ACO4 AMK4 AWG4 BGC4 BPY4 BZU4 CJQ4 CTM4 DDI4 DNE4 DXA4 EGW4 EQS4 FAO4 FKK4 FUG4 GEC4 GNY4 GXU4 HHQ4 HRM4 IBI4 ILE4 IVA4 JEW4 JOS4 JYO4 KIK4 KSG4 LCC4 LLY4 LVU4 MFQ4 MPM4 MZI4 NJE4 NTA4 OCW4 OMS4 OWO4 PGK4 PQG4 QAC4 QJY4 QTU4 RDQ4 RNM4 RXI4 SHE4 SRA4 TAW4 TKS4 TUO4 UEK4 UOG4 UYC4 VHY4 VRU4 WBQ4 WLM4 WVI4 A65540 IW65540 SS65540 ACO65540 AMK65540 AWG65540 BGC65540 BPY65540 BZU65540 CJQ65540 CTM65540 DDI65540 DNE65540 DXA65540 EGW65540 EQS65540 FAO65540 FKK65540 FUG65540 GEC65540 GNY65540 GXU65540 HHQ65540 HRM65540 IBI65540 ILE65540 IVA65540 JEW65540 JOS65540 JYO65540 KIK65540 KSG65540 LCC65540 LLY65540 LVU65540 MFQ65540 MPM65540 MZI65540 NJE65540 NTA65540 OCW65540 OMS65540 OWO65540 PGK65540 PQG65540 QAC65540 QJY65540 QTU65540 RDQ65540 RNM65540 RXI65540 SHE65540 SRA65540 TAW65540 TKS65540 TUO65540 UEK65540 UOG65540 UYC65540 VHY65540 VRU65540 WBQ65540 WLM65540 WVI65540 A131076 IW131076 SS131076 ACO131076 AMK131076 AWG131076 BGC131076 BPY131076 BZU131076 CJQ131076 CTM131076 DDI131076 DNE131076 DXA131076 EGW131076 EQS131076 FAO131076 FKK131076 FUG131076 GEC131076 GNY131076 GXU131076 HHQ131076 HRM131076 IBI131076 ILE131076 IVA131076 JEW131076 JOS131076 JYO131076 KIK131076 KSG131076 LCC131076 LLY131076 LVU131076 MFQ131076 MPM131076 MZI131076 NJE131076 NTA131076 OCW131076 OMS131076 OWO131076 PGK131076 PQG131076 QAC131076 QJY131076 QTU131076 RDQ131076 RNM131076 RXI131076 SHE131076 SRA131076 TAW131076 TKS131076 TUO131076 UEK131076 UOG131076 UYC131076 VHY131076 VRU131076 WBQ131076 WLM131076 WVI131076 A196612 IW196612 SS196612 ACO196612 AMK196612 AWG196612 BGC196612 BPY196612 BZU196612 CJQ196612 CTM196612 DDI196612 DNE196612 DXA196612 EGW196612 EQS196612 FAO196612 FKK196612 FUG196612 GEC196612 GNY196612 GXU196612 HHQ196612 HRM196612 IBI196612 ILE196612 IVA196612 JEW196612 JOS196612 JYO196612 KIK196612 KSG196612 LCC196612 LLY196612 LVU196612 MFQ196612 MPM196612 MZI196612 NJE196612 NTA196612 OCW196612 OMS196612 OWO196612 PGK196612 PQG196612 QAC196612 QJY196612 QTU196612 RDQ196612 RNM196612 RXI196612 SHE196612 SRA196612 TAW196612 TKS196612 TUO196612 UEK196612 UOG196612 UYC196612 VHY196612 VRU196612 WBQ196612 WLM196612 WVI196612 A262148 IW262148 SS262148 ACO262148 AMK262148 AWG262148 BGC262148 BPY262148 BZU262148 CJQ262148 CTM262148 DDI262148 DNE262148 DXA262148 EGW262148 EQS262148 FAO262148 FKK262148 FUG262148 GEC262148 GNY262148 GXU262148 HHQ262148 HRM262148 IBI262148 ILE262148 IVA262148 JEW262148 JOS262148 JYO262148 KIK262148 KSG262148 LCC262148 LLY262148 LVU262148 MFQ262148 MPM262148 MZI262148 NJE262148 NTA262148 OCW262148 OMS262148 OWO262148 PGK262148 PQG262148 QAC262148 QJY262148 QTU262148 RDQ262148 RNM262148 RXI262148 SHE262148 SRA262148 TAW262148 TKS262148 TUO262148 UEK262148 UOG262148 UYC262148 VHY262148 VRU262148 WBQ262148 WLM262148 WVI262148 A327684 IW327684 SS327684 ACO327684 AMK327684 AWG327684 BGC327684 BPY327684 BZU327684 CJQ327684 CTM327684 DDI327684 DNE327684 DXA327684 EGW327684 EQS327684 FAO327684 FKK327684 FUG327684 GEC327684 GNY327684 GXU327684 HHQ327684 HRM327684 IBI327684 ILE327684 IVA327684 JEW327684 JOS327684 JYO327684 KIK327684 KSG327684 LCC327684 LLY327684 LVU327684 MFQ327684 MPM327684 MZI327684 NJE327684 NTA327684 OCW327684 OMS327684 OWO327684 PGK327684 PQG327684 QAC327684 QJY327684 QTU327684 RDQ327684 RNM327684 RXI327684 SHE327684 SRA327684 TAW327684 TKS327684 TUO327684 UEK327684 UOG327684 UYC327684 VHY327684 VRU327684 WBQ327684 WLM327684 WVI327684 A393220 IW393220 SS393220 ACO393220 AMK393220 AWG393220 BGC393220 BPY393220 BZU393220 CJQ393220 CTM393220 DDI393220 DNE393220 DXA393220 EGW393220 EQS393220 FAO393220 FKK393220 FUG393220 GEC393220 GNY393220 GXU393220 HHQ393220 HRM393220 IBI393220 ILE393220 IVA393220 JEW393220 JOS393220 JYO393220 KIK393220 KSG393220 LCC393220 LLY393220 LVU393220 MFQ393220 MPM393220 MZI393220 NJE393220 NTA393220 OCW393220 OMS393220 OWO393220 PGK393220 PQG393220 QAC393220 QJY393220 QTU393220 RDQ393220 RNM393220 RXI393220 SHE393220 SRA393220 TAW393220 TKS393220 TUO393220 UEK393220 UOG393220 UYC393220 VHY393220 VRU393220 WBQ393220 WLM393220 WVI393220 A458756 IW458756 SS458756 ACO458756 AMK458756 AWG458756 BGC458756 BPY458756 BZU458756 CJQ458756 CTM458756 DDI458756 DNE458756 DXA458756 EGW458756 EQS458756 FAO458756 FKK458756 FUG458756 GEC458756 GNY458756 GXU458756 HHQ458756 HRM458756 IBI458756 ILE458756 IVA458756 JEW458756 JOS458756 JYO458756 KIK458756 KSG458756 LCC458756 LLY458756 LVU458756 MFQ458756 MPM458756 MZI458756 NJE458756 NTA458756 OCW458756 OMS458756 OWO458756 PGK458756 PQG458756 QAC458756 QJY458756 QTU458756 RDQ458756 RNM458756 RXI458756 SHE458756 SRA458756 TAW458756 TKS458756 TUO458756 UEK458756 UOG458756 UYC458756 VHY458756 VRU458756 WBQ458756 WLM458756 WVI458756 A524292 IW524292 SS524292 ACO524292 AMK524292 AWG524292 BGC524292 BPY524292 BZU524292 CJQ524292 CTM524292 DDI524292 DNE524292 DXA524292 EGW524292 EQS524292 FAO524292 FKK524292 FUG524292 GEC524292 GNY524292 GXU524292 HHQ524292 HRM524292 IBI524292 ILE524292 IVA524292 JEW524292 JOS524292 JYO524292 KIK524292 KSG524292 LCC524292 LLY524292 LVU524292 MFQ524292 MPM524292 MZI524292 NJE524292 NTA524292 OCW524292 OMS524292 OWO524292 PGK524292 PQG524292 QAC524292 QJY524292 QTU524292 RDQ524292 RNM524292 RXI524292 SHE524292 SRA524292 TAW524292 TKS524292 TUO524292 UEK524292 UOG524292 UYC524292 VHY524292 VRU524292 WBQ524292 WLM524292 WVI524292 A589828 IW589828 SS589828 ACO589828 AMK589828 AWG589828 BGC589828 BPY589828 BZU589828 CJQ589828 CTM589828 DDI589828 DNE589828 DXA589828 EGW589828 EQS589828 FAO589828 FKK589828 FUG589828 GEC589828 GNY589828 GXU589828 HHQ589828 HRM589828 IBI589828 ILE589828 IVA589828 JEW589828 JOS589828 JYO589828 KIK589828 KSG589828 LCC589828 LLY589828 LVU589828 MFQ589828 MPM589828 MZI589828 NJE589828 NTA589828 OCW589828 OMS589828 OWO589828 PGK589828 PQG589828 QAC589828 QJY589828 QTU589828 RDQ589828 RNM589828 RXI589828 SHE589828 SRA589828 TAW589828 TKS589828 TUO589828 UEK589828 UOG589828 UYC589828 VHY589828 VRU589828 WBQ589828 WLM589828 WVI589828 A655364 IW655364 SS655364 ACO655364 AMK655364 AWG655364 BGC655364 BPY655364 BZU655364 CJQ655364 CTM655364 DDI655364 DNE655364 DXA655364 EGW655364 EQS655364 FAO655364 FKK655364 FUG655364 GEC655364 GNY655364 GXU655364 HHQ655364 HRM655364 IBI655364 ILE655364 IVA655364 JEW655364 JOS655364 JYO655364 KIK655364 KSG655364 LCC655364 LLY655364 LVU655364 MFQ655364 MPM655364 MZI655364 NJE655364 NTA655364 OCW655364 OMS655364 OWO655364 PGK655364 PQG655364 QAC655364 QJY655364 QTU655364 RDQ655364 RNM655364 RXI655364 SHE655364 SRA655364 TAW655364 TKS655364 TUO655364 UEK655364 UOG655364 UYC655364 VHY655364 VRU655364 WBQ655364 WLM655364 WVI655364 A720900 IW720900 SS720900 ACO720900 AMK720900 AWG720900 BGC720900 BPY720900 BZU720900 CJQ720900 CTM720900 DDI720900 DNE720900 DXA720900 EGW720900 EQS720900 FAO720900 FKK720900 FUG720900 GEC720900 GNY720900 GXU720900 HHQ720900 HRM720900 IBI720900 ILE720900 IVA720900 JEW720900 JOS720900 JYO720900 KIK720900 KSG720900 LCC720900 LLY720900 LVU720900 MFQ720900 MPM720900 MZI720900 NJE720900 NTA720900 OCW720900 OMS720900 OWO720900 PGK720900 PQG720900 QAC720900 QJY720900 QTU720900 RDQ720900 RNM720900 RXI720900 SHE720900 SRA720900 TAW720900 TKS720900 TUO720900 UEK720900 UOG720900 UYC720900 VHY720900 VRU720900 WBQ720900 WLM720900 WVI720900 A786436 IW786436 SS786436 ACO786436 AMK786436 AWG786436 BGC786436 BPY786436 BZU786436 CJQ786436 CTM786436 DDI786436 DNE786436 DXA786436 EGW786436 EQS786436 FAO786436 FKK786436 FUG786436 GEC786436 GNY786436 GXU786436 HHQ786436 HRM786436 IBI786436 ILE786436 IVA786436 JEW786436 JOS786436 JYO786436 KIK786436 KSG786436 LCC786436 LLY786436 LVU786436 MFQ786436 MPM786436 MZI786436 NJE786436 NTA786436 OCW786436 OMS786436 OWO786436 PGK786436 PQG786436 QAC786436 QJY786436 QTU786436 RDQ786436 RNM786436 RXI786436 SHE786436 SRA786436 TAW786436 TKS786436 TUO786436 UEK786436 UOG786436 UYC786436 VHY786436 VRU786436 WBQ786436 WLM786436 WVI786436 A851972 IW851972 SS851972 ACO851972 AMK851972 AWG851972 BGC851972 BPY851972 BZU851972 CJQ851972 CTM851972 DDI851972 DNE851972 DXA851972 EGW851972 EQS851972 FAO851972 FKK851972 FUG851972 GEC851972 GNY851972 GXU851972 HHQ851972 HRM851972 IBI851972 ILE851972 IVA851972 JEW851972 JOS851972 JYO851972 KIK851972 KSG851972 LCC851972 LLY851972 LVU851972 MFQ851972 MPM851972 MZI851972 NJE851972 NTA851972 OCW851972 OMS851972 OWO851972 PGK851972 PQG851972 QAC851972 QJY851972 QTU851972 RDQ851972 RNM851972 RXI851972 SHE851972 SRA851972 TAW851972 TKS851972 TUO851972 UEK851972 UOG851972 UYC851972 VHY851972 VRU851972 WBQ851972 WLM851972 WVI851972 A917508 IW917508 SS917508 ACO917508 AMK917508 AWG917508 BGC917508 BPY917508 BZU917508 CJQ917508 CTM917508 DDI917508 DNE917508 DXA917508 EGW917508 EQS917508 FAO917508 FKK917508 FUG917508 GEC917508 GNY917508 GXU917508 HHQ917508 HRM917508 IBI917508 ILE917508 IVA917508 JEW917508 JOS917508 JYO917508 KIK917508 KSG917508 LCC917508 LLY917508 LVU917508 MFQ917508 MPM917508 MZI917508 NJE917508 NTA917508 OCW917508 OMS917508 OWO917508 PGK917508 PQG917508 QAC917508 QJY917508 QTU917508 RDQ917508 RNM917508 RXI917508 SHE917508 SRA917508 TAW917508 TKS917508 TUO917508 UEK917508 UOG917508 UYC917508 VHY917508 VRU917508 WBQ917508 WLM917508 WVI917508 A983044 IW983044 SS983044 ACO983044 AMK983044 AWG983044 BGC983044 BPY983044 BZU983044 CJQ983044 CTM983044 DDI983044 DNE983044 DXA983044 EGW983044 EQS983044 FAO983044 FKK983044 FUG983044 GEC983044 GNY983044 GXU983044 HHQ983044 HRM983044 IBI983044 ILE983044 IVA983044 JEW983044 JOS983044 JYO983044 KIK983044 KSG983044 LCC983044 LLY983044 LVU983044 MFQ983044 MPM983044 MZI983044 NJE983044 NTA983044 OCW983044 OMS983044 OWO983044 PGK983044 PQG983044 QAC983044 QJY983044 QTU983044 RDQ983044 RNM983044 RXI983044 SHE983044 SRA983044 TAW983044 TKS983044 TUO983044 UEK983044 UOG983044 UYC983044 VHY983044 VRU983044 WBQ983044 WLM983044 WVI983044" xr:uid="{7EE7609D-3076-48B2-BDEE-022593EAA52B}">
      <formula1>A13:A15</formula1>
    </dataValidation>
  </dataValidations>
  <printOptions horizontalCentered="1" verticalCentered="1"/>
  <pageMargins left="0.74803149606299213" right="0.35433070866141736" top="0.59055118110236227" bottom="0.43307086614173229" header="0.51181102362204722" footer="0.27559055118110237"/>
  <pageSetup paperSize="9" scale="97" orientation="landscape" r:id="rId1"/>
  <headerFooter alignWithMargins="0"/>
  <rowBreaks count="1" manualBreakCount="1">
    <brk id="23" max="10" man="1"/>
  </rowBreaks>
  <colBreaks count="1" manualBreakCount="1">
    <brk id="17"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EA4203-BE8F-4DBB-B8CD-2C67DAF25FF6}">
  <sheetPr>
    <tabColor indexed="43"/>
  </sheetPr>
  <dimension ref="A1:M24"/>
  <sheetViews>
    <sheetView showZeros="0" view="pageBreakPreview" topLeftCell="B1" zoomScaleNormal="100" zoomScaleSheetLayoutView="100" workbookViewId="0">
      <selection activeCell="C37" sqref="C37:D37"/>
    </sheetView>
  </sheetViews>
  <sheetFormatPr defaultColWidth="7" defaultRowHeight="20.100000000000001" customHeight="1" x14ac:dyDescent="0.3"/>
  <cols>
    <col min="1" max="1" width="13.875" style="69" hidden="1" customWidth="1"/>
    <col min="2" max="4" width="12.625" style="69" customWidth="1"/>
    <col min="5" max="5" width="17.625" style="69" customWidth="1"/>
    <col min="6" max="9" width="12.625" style="69" customWidth="1"/>
    <col min="10" max="10" width="13.625" style="69" customWidth="1"/>
    <col min="11" max="11" width="8.625" style="69" customWidth="1"/>
    <col min="12" max="12" width="4.25" style="68" customWidth="1"/>
    <col min="13" max="13" width="11.75" style="69" customWidth="1"/>
    <col min="14" max="14" width="12.25" style="69" bestFit="1" customWidth="1"/>
    <col min="15" max="15" width="8.625" style="69" customWidth="1"/>
    <col min="16" max="16" width="7" style="69"/>
    <col min="17" max="17" width="8.625" style="69" customWidth="1"/>
    <col min="18" max="234" width="7" style="69"/>
    <col min="235" max="235" width="12.375" style="69" customWidth="1"/>
    <col min="236" max="237" width="7.625" style="69" customWidth="1"/>
    <col min="238" max="238" width="14.375" style="69" customWidth="1"/>
    <col min="239" max="239" width="6.5" style="69" customWidth="1"/>
    <col min="240" max="240" width="3.75" style="69" customWidth="1"/>
    <col min="241" max="242" width="8.75" style="69" customWidth="1"/>
    <col min="243" max="243" width="3.75" style="69" customWidth="1"/>
    <col min="244" max="244" width="15.5" style="69" customWidth="1"/>
    <col min="245" max="245" width="38.625" style="69" customWidth="1"/>
    <col min="246" max="246" width="4.25" style="69" customWidth="1"/>
    <col min="247" max="247" width="11.75" style="69" customWidth="1"/>
    <col min="248" max="248" width="11.375" style="69" bestFit="1" customWidth="1"/>
    <col min="249" max="267" width="7" style="69" customWidth="1"/>
    <col min="268" max="490" width="7" style="69"/>
    <col min="491" max="491" width="12.375" style="69" customWidth="1"/>
    <col min="492" max="493" width="7.625" style="69" customWidth="1"/>
    <col min="494" max="494" width="14.375" style="69" customWidth="1"/>
    <col min="495" max="495" width="6.5" style="69" customWidth="1"/>
    <col min="496" max="496" width="3.75" style="69" customWidth="1"/>
    <col min="497" max="498" width="8.75" style="69" customWidth="1"/>
    <col min="499" max="499" width="3.75" style="69" customWidth="1"/>
    <col min="500" max="500" width="15.5" style="69" customWidth="1"/>
    <col min="501" max="501" width="38.625" style="69" customWidth="1"/>
    <col min="502" max="502" width="4.25" style="69" customWidth="1"/>
    <col min="503" max="503" width="11.75" style="69" customWidth="1"/>
    <col min="504" max="504" width="11.375" style="69" bestFit="1" customWidth="1"/>
    <col min="505" max="523" width="7" style="69" customWidth="1"/>
    <col min="524" max="746" width="7" style="69"/>
    <col min="747" max="747" width="12.375" style="69" customWidth="1"/>
    <col min="748" max="749" width="7.625" style="69" customWidth="1"/>
    <col min="750" max="750" width="14.375" style="69" customWidth="1"/>
    <col min="751" max="751" width="6.5" style="69" customWidth="1"/>
    <col min="752" max="752" width="3.75" style="69" customWidth="1"/>
    <col min="753" max="754" width="8.75" style="69" customWidth="1"/>
    <col min="755" max="755" width="3.75" style="69" customWidth="1"/>
    <col min="756" max="756" width="15.5" style="69" customWidth="1"/>
    <col min="757" max="757" width="38.625" style="69" customWidth="1"/>
    <col min="758" max="758" width="4.25" style="69" customWidth="1"/>
    <col min="759" max="759" width="11.75" style="69" customWidth="1"/>
    <col min="760" max="760" width="11.375" style="69" bestFit="1" customWidth="1"/>
    <col min="761" max="779" width="7" style="69" customWidth="1"/>
    <col min="780" max="1002" width="7" style="69"/>
    <col min="1003" max="1003" width="12.375" style="69" customWidth="1"/>
    <col min="1004" max="1005" width="7.625" style="69" customWidth="1"/>
    <col min="1006" max="1006" width="14.375" style="69" customWidth="1"/>
    <col min="1007" max="1007" width="6.5" style="69" customWidth="1"/>
    <col min="1008" max="1008" width="3.75" style="69" customWidth="1"/>
    <col min="1009" max="1010" width="8.75" style="69" customWidth="1"/>
    <col min="1011" max="1011" width="3.75" style="69" customWidth="1"/>
    <col min="1012" max="1012" width="15.5" style="69" customWidth="1"/>
    <col min="1013" max="1013" width="38.625" style="69" customWidth="1"/>
    <col min="1014" max="1014" width="4.25" style="69" customWidth="1"/>
    <col min="1015" max="1015" width="11.75" style="69" customWidth="1"/>
    <col min="1016" max="1016" width="11.375" style="69" bestFit="1" customWidth="1"/>
    <col min="1017" max="1035" width="7" style="69" customWidth="1"/>
    <col min="1036" max="1258" width="7" style="69"/>
    <col min="1259" max="1259" width="12.375" style="69" customWidth="1"/>
    <col min="1260" max="1261" width="7.625" style="69" customWidth="1"/>
    <col min="1262" max="1262" width="14.375" style="69" customWidth="1"/>
    <col min="1263" max="1263" width="6.5" style="69" customWidth="1"/>
    <col min="1264" max="1264" width="3.75" style="69" customWidth="1"/>
    <col min="1265" max="1266" width="8.75" style="69" customWidth="1"/>
    <col min="1267" max="1267" width="3.75" style="69" customWidth="1"/>
    <col min="1268" max="1268" width="15.5" style="69" customWidth="1"/>
    <col min="1269" max="1269" width="38.625" style="69" customWidth="1"/>
    <col min="1270" max="1270" width="4.25" style="69" customWidth="1"/>
    <col min="1271" max="1271" width="11.75" style="69" customWidth="1"/>
    <col min="1272" max="1272" width="11.375" style="69" bestFit="1" customWidth="1"/>
    <col min="1273" max="1291" width="7" style="69" customWidth="1"/>
    <col min="1292" max="1514" width="7" style="69"/>
    <col min="1515" max="1515" width="12.375" style="69" customWidth="1"/>
    <col min="1516" max="1517" width="7.625" style="69" customWidth="1"/>
    <col min="1518" max="1518" width="14.375" style="69" customWidth="1"/>
    <col min="1519" max="1519" width="6.5" style="69" customWidth="1"/>
    <col min="1520" max="1520" width="3.75" style="69" customWidth="1"/>
    <col min="1521" max="1522" width="8.75" style="69" customWidth="1"/>
    <col min="1523" max="1523" width="3.75" style="69" customWidth="1"/>
    <col min="1524" max="1524" width="15.5" style="69" customWidth="1"/>
    <col min="1525" max="1525" width="38.625" style="69" customWidth="1"/>
    <col min="1526" max="1526" width="4.25" style="69" customWidth="1"/>
    <col min="1527" max="1527" width="11.75" style="69" customWidth="1"/>
    <col min="1528" max="1528" width="11.375" style="69" bestFit="1" customWidth="1"/>
    <col min="1529" max="1547" width="7" style="69" customWidth="1"/>
    <col min="1548" max="1770" width="7" style="69"/>
    <col min="1771" max="1771" width="12.375" style="69" customWidth="1"/>
    <col min="1772" max="1773" width="7.625" style="69" customWidth="1"/>
    <col min="1774" max="1774" width="14.375" style="69" customWidth="1"/>
    <col min="1775" max="1775" width="6.5" style="69" customWidth="1"/>
    <col min="1776" max="1776" width="3.75" style="69" customWidth="1"/>
    <col min="1777" max="1778" width="8.75" style="69" customWidth="1"/>
    <col min="1779" max="1779" width="3.75" style="69" customWidth="1"/>
    <col min="1780" max="1780" width="15.5" style="69" customWidth="1"/>
    <col min="1781" max="1781" width="38.625" style="69" customWidth="1"/>
    <col min="1782" max="1782" width="4.25" style="69" customWidth="1"/>
    <col min="1783" max="1783" width="11.75" style="69" customWidth="1"/>
    <col min="1784" max="1784" width="11.375" style="69" bestFit="1" customWidth="1"/>
    <col min="1785" max="1803" width="7" style="69" customWidth="1"/>
    <col min="1804" max="2026" width="7" style="69"/>
    <col min="2027" max="2027" width="12.375" style="69" customWidth="1"/>
    <col min="2028" max="2029" width="7.625" style="69" customWidth="1"/>
    <col min="2030" max="2030" width="14.375" style="69" customWidth="1"/>
    <col min="2031" max="2031" width="6.5" style="69" customWidth="1"/>
    <col min="2032" max="2032" width="3.75" style="69" customWidth="1"/>
    <col min="2033" max="2034" width="8.75" style="69" customWidth="1"/>
    <col min="2035" max="2035" width="3.75" style="69" customWidth="1"/>
    <col min="2036" max="2036" width="15.5" style="69" customWidth="1"/>
    <col min="2037" max="2037" width="38.625" style="69" customWidth="1"/>
    <col min="2038" max="2038" width="4.25" style="69" customWidth="1"/>
    <col min="2039" max="2039" width="11.75" style="69" customWidth="1"/>
    <col min="2040" max="2040" width="11.375" style="69" bestFit="1" customWidth="1"/>
    <col min="2041" max="2059" width="7" style="69" customWidth="1"/>
    <col min="2060" max="2282" width="7" style="69"/>
    <col min="2283" max="2283" width="12.375" style="69" customWidth="1"/>
    <col min="2284" max="2285" width="7.625" style="69" customWidth="1"/>
    <col min="2286" max="2286" width="14.375" style="69" customWidth="1"/>
    <col min="2287" max="2287" width="6.5" style="69" customWidth="1"/>
    <col min="2288" max="2288" width="3.75" style="69" customWidth="1"/>
    <col min="2289" max="2290" width="8.75" style="69" customWidth="1"/>
    <col min="2291" max="2291" width="3.75" style="69" customWidth="1"/>
    <col min="2292" max="2292" width="15.5" style="69" customWidth="1"/>
    <col min="2293" max="2293" width="38.625" style="69" customWidth="1"/>
    <col min="2294" max="2294" width="4.25" style="69" customWidth="1"/>
    <col min="2295" max="2295" width="11.75" style="69" customWidth="1"/>
    <col min="2296" max="2296" width="11.375" style="69" bestFit="1" customWidth="1"/>
    <col min="2297" max="2315" width="7" style="69" customWidth="1"/>
    <col min="2316" max="2538" width="7" style="69"/>
    <col min="2539" max="2539" width="12.375" style="69" customWidth="1"/>
    <col min="2540" max="2541" width="7.625" style="69" customWidth="1"/>
    <col min="2542" max="2542" width="14.375" style="69" customWidth="1"/>
    <col min="2543" max="2543" width="6.5" style="69" customWidth="1"/>
    <col min="2544" max="2544" width="3.75" style="69" customWidth="1"/>
    <col min="2545" max="2546" width="8.75" style="69" customWidth="1"/>
    <col min="2547" max="2547" width="3.75" style="69" customWidth="1"/>
    <col min="2548" max="2548" width="15.5" style="69" customWidth="1"/>
    <col min="2549" max="2549" width="38.625" style="69" customWidth="1"/>
    <col min="2550" max="2550" width="4.25" style="69" customWidth="1"/>
    <col min="2551" max="2551" width="11.75" style="69" customWidth="1"/>
    <col min="2552" max="2552" width="11.375" style="69" bestFit="1" customWidth="1"/>
    <col min="2553" max="2571" width="7" style="69" customWidth="1"/>
    <col min="2572" max="2794" width="7" style="69"/>
    <col min="2795" max="2795" width="12.375" style="69" customWidth="1"/>
    <col min="2796" max="2797" width="7.625" style="69" customWidth="1"/>
    <col min="2798" max="2798" width="14.375" style="69" customWidth="1"/>
    <col min="2799" max="2799" width="6.5" style="69" customWidth="1"/>
    <col min="2800" max="2800" width="3.75" style="69" customWidth="1"/>
    <col min="2801" max="2802" width="8.75" style="69" customWidth="1"/>
    <col min="2803" max="2803" width="3.75" style="69" customWidth="1"/>
    <col min="2804" max="2804" width="15.5" style="69" customWidth="1"/>
    <col min="2805" max="2805" width="38.625" style="69" customWidth="1"/>
    <col min="2806" max="2806" width="4.25" style="69" customWidth="1"/>
    <col min="2807" max="2807" width="11.75" style="69" customWidth="1"/>
    <col min="2808" max="2808" width="11.375" style="69" bestFit="1" customWidth="1"/>
    <col min="2809" max="2827" width="7" style="69" customWidth="1"/>
    <col min="2828" max="3050" width="7" style="69"/>
    <col min="3051" max="3051" width="12.375" style="69" customWidth="1"/>
    <col min="3052" max="3053" width="7.625" style="69" customWidth="1"/>
    <col min="3054" max="3054" width="14.375" style="69" customWidth="1"/>
    <col min="3055" max="3055" width="6.5" style="69" customWidth="1"/>
    <col min="3056" max="3056" width="3.75" style="69" customWidth="1"/>
    <col min="3057" max="3058" width="8.75" style="69" customWidth="1"/>
    <col min="3059" max="3059" width="3.75" style="69" customWidth="1"/>
    <col min="3060" max="3060" width="15.5" style="69" customWidth="1"/>
    <col min="3061" max="3061" width="38.625" style="69" customWidth="1"/>
    <col min="3062" max="3062" width="4.25" style="69" customWidth="1"/>
    <col min="3063" max="3063" width="11.75" style="69" customWidth="1"/>
    <col min="3064" max="3064" width="11.375" style="69" bestFit="1" customWidth="1"/>
    <col min="3065" max="3083" width="7" style="69" customWidth="1"/>
    <col min="3084" max="3306" width="7" style="69"/>
    <col min="3307" max="3307" width="12.375" style="69" customWidth="1"/>
    <col min="3308" max="3309" width="7.625" style="69" customWidth="1"/>
    <col min="3310" max="3310" width="14.375" style="69" customWidth="1"/>
    <col min="3311" max="3311" width="6.5" style="69" customWidth="1"/>
    <col min="3312" max="3312" width="3.75" style="69" customWidth="1"/>
    <col min="3313" max="3314" width="8.75" style="69" customWidth="1"/>
    <col min="3315" max="3315" width="3.75" style="69" customWidth="1"/>
    <col min="3316" max="3316" width="15.5" style="69" customWidth="1"/>
    <col min="3317" max="3317" width="38.625" style="69" customWidth="1"/>
    <col min="3318" max="3318" width="4.25" style="69" customWidth="1"/>
    <col min="3319" max="3319" width="11.75" style="69" customWidth="1"/>
    <col min="3320" max="3320" width="11.375" style="69" bestFit="1" customWidth="1"/>
    <col min="3321" max="3339" width="7" style="69" customWidth="1"/>
    <col min="3340" max="3562" width="7" style="69"/>
    <col min="3563" max="3563" width="12.375" style="69" customWidth="1"/>
    <col min="3564" max="3565" width="7.625" style="69" customWidth="1"/>
    <col min="3566" max="3566" width="14.375" style="69" customWidth="1"/>
    <col min="3567" max="3567" width="6.5" style="69" customWidth="1"/>
    <col min="3568" max="3568" width="3.75" style="69" customWidth="1"/>
    <col min="3569" max="3570" width="8.75" style="69" customWidth="1"/>
    <col min="3571" max="3571" width="3.75" style="69" customWidth="1"/>
    <col min="3572" max="3572" width="15.5" style="69" customWidth="1"/>
    <col min="3573" max="3573" width="38.625" style="69" customWidth="1"/>
    <col min="3574" max="3574" width="4.25" style="69" customWidth="1"/>
    <col min="3575" max="3575" width="11.75" style="69" customWidth="1"/>
    <col min="3576" max="3576" width="11.375" style="69" bestFit="1" customWidth="1"/>
    <col min="3577" max="3595" width="7" style="69" customWidth="1"/>
    <col min="3596" max="3818" width="7" style="69"/>
    <col min="3819" max="3819" width="12.375" style="69" customWidth="1"/>
    <col min="3820" max="3821" width="7.625" style="69" customWidth="1"/>
    <col min="3822" max="3822" width="14.375" style="69" customWidth="1"/>
    <col min="3823" max="3823" width="6.5" style="69" customWidth="1"/>
    <col min="3824" max="3824" width="3.75" style="69" customWidth="1"/>
    <col min="3825" max="3826" width="8.75" style="69" customWidth="1"/>
    <col min="3827" max="3827" width="3.75" style="69" customWidth="1"/>
    <col min="3828" max="3828" width="15.5" style="69" customWidth="1"/>
    <col min="3829" max="3829" width="38.625" style="69" customWidth="1"/>
    <col min="3830" max="3830" width="4.25" style="69" customWidth="1"/>
    <col min="3831" max="3831" width="11.75" style="69" customWidth="1"/>
    <col min="3832" max="3832" width="11.375" style="69" bestFit="1" customWidth="1"/>
    <col min="3833" max="3851" width="7" style="69" customWidth="1"/>
    <col min="3852" max="4074" width="7" style="69"/>
    <col min="4075" max="4075" width="12.375" style="69" customWidth="1"/>
    <col min="4076" max="4077" width="7.625" style="69" customWidth="1"/>
    <col min="4078" max="4078" width="14.375" style="69" customWidth="1"/>
    <col min="4079" max="4079" width="6.5" style="69" customWidth="1"/>
    <col min="4080" max="4080" width="3.75" style="69" customWidth="1"/>
    <col min="4081" max="4082" width="8.75" style="69" customWidth="1"/>
    <col min="4083" max="4083" width="3.75" style="69" customWidth="1"/>
    <col min="4084" max="4084" width="15.5" style="69" customWidth="1"/>
    <col min="4085" max="4085" width="38.625" style="69" customWidth="1"/>
    <col min="4086" max="4086" width="4.25" style="69" customWidth="1"/>
    <col min="4087" max="4087" width="11.75" style="69" customWidth="1"/>
    <col min="4088" max="4088" width="11.375" style="69" bestFit="1" customWidth="1"/>
    <col min="4089" max="4107" width="7" style="69" customWidth="1"/>
    <col min="4108" max="4330" width="7" style="69"/>
    <col min="4331" max="4331" width="12.375" style="69" customWidth="1"/>
    <col min="4332" max="4333" width="7.625" style="69" customWidth="1"/>
    <col min="4334" max="4334" width="14.375" style="69" customWidth="1"/>
    <col min="4335" max="4335" width="6.5" style="69" customWidth="1"/>
    <col min="4336" max="4336" width="3.75" style="69" customWidth="1"/>
    <col min="4337" max="4338" width="8.75" style="69" customWidth="1"/>
    <col min="4339" max="4339" width="3.75" style="69" customWidth="1"/>
    <col min="4340" max="4340" width="15.5" style="69" customWidth="1"/>
    <col min="4341" max="4341" width="38.625" style="69" customWidth="1"/>
    <col min="4342" max="4342" width="4.25" style="69" customWidth="1"/>
    <col min="4343" max="4343" width="11.75" style="69" customWidth="1"/>
    <col min="4344" max="4344" width="11.375" style="69" bestFit="1" customWidth="1"/>
    <col min="4345" max="4363" width="7" style="69" customWidth="1"/>
    <col min="4364" max="4586" width="7" style="69"/>
    <col min="4587" max="4587" width="12.375" style="69" customWidth="1"/>
    <col min="4588" max="4589" width="7.625" style="69" customWidth="1"/>
    <col min="4590" max="4590" width="14.375" style="69" customWidth="1"/>
    <col min="4591" max="4591" width="6.5" style="69" customWidth="1"/>
    <col min="4592" max="4592" width="3.75" style="69" customWidth="1"/>
    <col min="4593" max="4594" width="8.75" style="69" customWidth="1"/>
    <col min="4595" max="4595" width="3.75" style="69" customWidth="1"/>
    <col min="4596" max="4596" width="15.5" style="69" customWidth="1"/>
    <col min="4597" max="4597" width="38.625" style="69" customWidth="1"/>
    <col min="4598" max="4598" width="4.25" style="69" customWidth="1"/>
    <col min="4599" max="4599" width="11.75" style="69" customWidth="1"/>
    <col min="4600" max="4600" width="11.375" style="69" bestFit="1" customWidth="1"/>
    <col min="4601" max="4619" width="7" style="69" customWidth="1"/>
    <col min="4620" max="4842" width="7" style="69"/>
    <col min="4843" max="4843" width="12.375" style="69" customWidth="1"/>
    <col min="4844" max="4845" width="7.625" style="69" customWidth="1"/>
    <col min="4846" max="4846" width="14.375" style="69" customWidth="1"/>
    <col min="4847" max="4847" width="6.5" style="69" customWidth="1"/>
    <col min="4848" max="4848" width="3.75" style="69" customWidth="1"/>
    <col min="4849" max="4850" width="8.75" style="69" customWidth="1"/>
    <col min="4851" max="4851" width="3.75" style="69" customWidth="1"/>
    <col min="4852" max="4852" width="15.5" style="69" customWidth="1"/>
    <col min="4853" max="4853" width="38.625" style="69" customWidth="1"/>
    <col min="4854" max="4854" width="4.25" style="69" customWidth="1"/>
    <col min="4855" max="4855" width="11.75" style="69" customWidth="1"/>
    <col min="4856" max="4856" width="11.375" style="69" bestFit="1" customWidth="1"/>
    <col min="4857" max="4875" width="7" style="69" customWidth="1"/>
    <col min="4876" max="5098" width="7" style="69"/>
    <col min="5099" max="5099" width="12.375" style="69" customWidth="1"/>
    <col min="5100" max="5101" width="7.625" style="69" customWidth="1"/>
    <col min="5102" max="5102" width="14.375" style="69" customWidth="1"/>
    <col min="5103" max="5103" width="6.5" style="69" customWidth="1"/>
    <col min="5104" max="5104" width="3.75" style="69" customWidth="1"/>
    <col min="5105" max="5106" width="8.75" style="69" customWidth="1"/>
    <col min="5107" max="5107" width="3.75" style="69" customWidth="1"/>
    <col min="5108" max="5108" width="15.5" style="69" customWidth="1"/>
    <col min="5109" max="5109" width="38.625" style="69" customWidth="1"/>
    <col min="5110" max="5110" width="4.25" style="69" customWidth="1"/>
    <col min="5111" max="5111" width="11.75" style="69" customWidth="1"/>
    <col min="5112" max="5112" width="11.375" style="69" bestFit="1" customWidth="1"/>
    <col min="5113" max="5131" width="7" style="69" customWidth="1"/>
    <col min="5132" max="5354" width="7" style="69"/>
    <col min="5355" max="5355" width="12.375" style="69" customWidth="1"/>
    <col min="5356" max="5357" width="7.625" style="69" customWidth="1"/>
    <col min="5358" max="5358" width="14.375" style="69" customWidth="1"/>
    <col min="5359" max="5359" width="6.5" style="69" customWidth="1"/>
    <col min="5360" max="5360" width="3.75" style="69" customWidth="1"/>
    <col min="5361" max="5362" width="8.75" style="69" customWidth="1"/>
    <col min="5363" max="5363" width="3.75" style="69" customWidth="1"/>
    <col min="5364" max="5364" width="15.5" style="69" customWidth="1"/>
    <col min="5365" max="5365" width="38.625" style="69" customWidth="1"/>
    <col min="5366" max="5366" width="4.25" style="69" customWidth="1"/>
    <col min="5367" max="5367" width="11.75" style="69" customWidth="1"/>
    <col min="5368" max="5368" width="11.375" style="69" bestFit="1" customWidth="1"/>
    <col min="5369" max="5387" width="7" style="69" customWidth="1"/>
    <col min="5388" max="5610" width="7" style="69"/>
    <col min="5611" max="5611" width="12.375" style="69" customWidth="1"/>
    <col min="5612" max="5613" width="7.625" style="69" customWidth="1"/>
    <col min="5614" max="5614" width="14.375" style="69" customWidth="1"/>
    <col min="5615" max="5615" width="6.5" style="69" customWidth="1"/>
    <col min="5616" max="5616" width="3.75" style="69" customWidth="1"/>
    <col min="5617" max="5618" width="8.75" style="69" customWidth="1"/>
    <col min="5619" max="5619" width="3.75" style="69" customWidth="1"/>
    <col min="5620" max="5620" width="15.5" style="69" customWidth="1"/>
    <col min="5621" max="5621" width="38.625" style="69" customWidth="1"/>
    <col min="5622" max="5622" width="4.25" style="69" customWidth="1"/>
    <col min="5623" max="5623" width="11.75" style="69" customWidth="1"/>
    <col min="5624" max="5624" width="11.375" style="69" bestFit="1" customWidth="1"/>
    <col min="5625" max="5643" width="7" style="69" customWidth="1"/>
    <col min="5644" max="5866" width="7" style="69"/>
    <col min="5867" max="5867" width="12.375" style="69" customWidth="1"/>
    <col min="5868" max="5869" width="7.625" style="69" customWidth="1"/>
    <col min="5870" max="5870" width="14.375" style="69" customWidth="1"/>
    <col min="5871" max="5871" width="6.5" style="69" customWidth="1"/>
    <col min="5872" max="5872" width="3.75" style="69" customWidth="1"/>
    <col min="5873" max="5874" width="8.75" style="69" customWidth="1"/>
    <col min="5875" max="5875" width="3.75" style="69" customWidth="1"/>
    <col min="5876" max="5876" width="15.5" style="69" customWidth="1"/>
    <col min="5877" max="5877" width="38.625" style="69" customWidth="1"/>
    <col min="5878" max="5878" width="4.25" style="69" customWidth="1"/>
    <col min="5879" max="5879" width="11.75" style="69" customWidth="1"/>
    <col min="5880" max="5880" width="11.375" style="69" bestFit="1" customWidth="1"/>
    <col min="5881" max="5899" width="7" style="69" customWidth="1"/>
    <col min="5900" max="6122" width="7" style="69"/>
    <col min="6123" max="6123" width="12.375" style="69" customWidth="1"/>
    <col min="6124" max="6125" width="7.625" style="69" customWidth="1"/>
    <col min="6126" max="6126" width="14.375" style="69" customWidth="1"/>
    <col min="6127" max="6127" width="6.5" style="69" customWidth="1"/>
    <col min="6128" max="6128" width="3.75" style="69" customWidth="1"/>
    <col min="6129" max="6130" width="8.75" style="69" customWidth="1"/>
    <col min="6131" max="6131" width="3.75" style="69" customWidth="1"/>
    <col min="6132" max="6132" width="15.5" style="69" customWidth="1"/>
    <col min="6133" max="6133" width="38.625" style="69" customWidth="1"/>
    <col min="6134" max="6134" width="4.25" style="69" customWidth="1"/>
    <col min="6135" max="6135" width="11.75" style="69" customWidth="1"/>
    <col min="6136" max="6136" width="11.375" style="69" bestFit="1" customWidth="1"/>
    <col min="6137" max="6155" width="7" style="69" customWidth="1"/>
    <col min="6156" max="6378" width="7" style="69"/>
    <col min="6379" max="6379" width="12.375" style="69" customWidth="1"/>
    <col min="6380" max="6381" width="7.625" style="69" customWidth="1"/>
    <col min="6382" max="6382" width="14.375" style="69" customWidth="1"/>
    <col min="6383" max="6383" width="6.5" style="69" customWidth="1"/>
    <col min="6384" max="6384" width="3.75" style="69" customWidth="1"/>
    <col min="6385" max="6386" width="8.75" style="69" customWidth="1"/>
    <col min="6387" max="6387" width="3.75" style="69" customWidth="1"/>
    <col min="6388" max="6388" width="15.5" style="69" customWidth="1"/>
    <col min="6389" max="6389" width="38.625" style="69" customWidth="1"/>
    <col min="6390" max="6390" width="4.25" style="69" customWidth="1"/>
    <col min="6391" max="6391" width="11.75" style="69" customWidth="1"/>
    <col min="6392" max="6392" width="11.375" style="69" bestFit="1" customWidth="1"/>
    <col min="6393" max="6411" width="7" style="69" customWidth="1"/>
    <col min="6412" max="6634" width="7" style="69"/>
    <col min="6635" max="6635" width="12.375" style="69" customWidth="1"/>
    <col min="6636" max="6637" width="7.625" style="69" customWidth="1"/>
    <col min="6638" max="6638" width="14.375" style="69" customWidth="1"/>
    <col min="6639" max="6639" width="6.5" style="69" customWidth="1"/>
    <col min="6640" max="6640" width="3.75" style="69" customWidth="1"/>
    <col min="6641" max="6642" width="8.75" style="69" customWidth="1"/>
    <col min="6643" max="6643" width="3.75" style="69" customWidth="1"/>
    <col min="6644" max="6644" width="15.5" style="69" customWidth="1"/>
    <col min="6645" max="6645" width="38.625" style="69" customWidth="1"/>
    <col min="6646" max="6646" width="4.25" style="69" customWidth="1"/>
    <col min="6647" max="6647" width="11.75" style="69" customWidth="1"/>
    <col min="6648" max="6648" width="11.375" style="69" bestFit="1" customWidth="1"/>
    <col min="6649" max="6667" width="7" style="69" customWidth="1"/>
    <col min="6668" max="6890" width="7" style="69"/>
    <col min="6891" max="6891" width="12.375" style="69" customWidth="1"/>
    <col min="6892" max="6893" width="7.625" style="69" customWidth="1"/>
    <col min="6894" max="6894" width="14.375" style="69" customWidth="1"/>
    <col min="6895" max="6895" width="6.5" style="69" customWidth="1"/>
    <col min="6896" max="6896" width="3.75" style="69" customWidth="1"/>
    <col min="6897" max="6898" width="8.75" style="69" customWidth="1"/>
    <col min="6899" max="6899" width="3.75" style="69" customWidth="1"/>
    <col min="6900" max="6900" width="15.5" style="69" customWidth="1"/>
    <col min="6901" max="6901" width="38.625" style="69" customWidth="1"/>
    <col min="6902" max="6902" width="4.25" style="69" customWidth="1"/>
    <col min="6903" max="6903" width="11.75" style="69" customWidth="1"/>
    <col min="6904" max="6904" width="11.375" style="69" bestFit="1" customWidth="1"/>
    <col min="6905" max="6923" width="7" style="69" customWidth="1"/>
    <col min="6924" max="7146" width="7" style="69"/>
    <col min="7147" max="7147" width="12.375" style="69" customWidth="1"/>
    <col min="7148" max="7149" width="7.625" style="69" customWidth="1"/>
    <col min="7150" max="7150" width="14.375" style="69" customWidth="1"/>
    <col min="7151" max="7151" width="6.5" style="69" customWidth="1"/>
    <col min="7152" max="7152" width="3.75" style="69" customWidth="1"/>
    <col min="7153" max="7154" width="8.75" style="69" customWidth="1"/>
    <col min="7155" max="7155" width="3.75" style="69" customWidth="1"/>
    <col min="7156" max="7156" width="15.5" style="69" customWidth="1"/>
    <col min="7157" max="7157" width="38.625" style="69" customWidth="1"/>
    <col min="7158" max="7158" width="4.25" style="69" customWidth="1"/>
    <col min="7159" max="7159" width="11.75" style="69" customWidth="1"/>
    <col min="7160" max="7160" width="11.375" style="69" bestFit="1" customWidth="1"/>
    <col min="7161" max="7179" width="7" style="69" customWidth="1"/>
    <col min="7180" max="7402" width="7" style="69"/>
    <col min="7403" max="7403" width="12.375" style="69" customWidth="1"/>
    <col min="7404" max="7405" width="7.625" style="69" customWidth="1"/>
    <col min="7406" max="7406" width="14.375" style="69" customWidth="1"/>
    <col min="7407" max="7407" width="6.5" style="69" customWidth="1"/>
    <col min="7408" max="7408" width="3.75" style="69" customWidth="1"/>
    <col min="7409" max="7410" width="8.75" style="69" customWidth="1"/>
    <col min="7411" max="7411" width="3.75" style="69" customWidth="1"/>
    <col min="7412" max="7412" width="15.5" style="69" customWidth="1"/>
    <col min="7413" max="7413" width="38.625" style="69" customWidth="1"/>
    <col min="7414" max="7414" width="4.25" style="69" customWidth="1"/>
    <col min="7415" max="7415" width="11.75" style="69" customWidth="1"/>
    <col min="7416" max="7416" width="11.375" style="69" bestFit="1" customWidth="1"/>
    <col min="7417" max="7435" width="7" style="69" customWidth="1"/>
    <col min="7436" max="7658" width="7" style="69"/>
    <col min="7659" max="7659" width="12.375" style="69" customWidth="1"/>
    <col min="7660" max="7661" width="7.625" style="69" customWidth="1"/>
    <col min="7662" max="7662" width="14.375" style="69" customWidth="1"/>
    <col min="7663" max="7663" width="6.5" style="69" customWidth="1"/>
    <col min="7664" max="7664" width="3.75" style="69" customWidth="1"/>
    <col min="7665" max="7666" width="8.75" style="69" customWidth="1"/>
    <col min="7667" max="7667" width="3.75" style="69" customWidth="1"/>
    <col min="7668" max="7668" width="15.5" style="69" customWidth="1"/>
    <col min="7669" max="7669" width="38.625" style="69" customWidth="1"/>
    <col min="7670" max="7670" width="4.25" style="69" customWidth="1"/>
    <col min="7671" max="7671" width="11.75" style="69" customWidth="1"/>
    <col min="7672" max="7672" width="11.375" style="69" bestFit="1" customWidth="1"/>
    <col min="7673" max="7691" width="7" style="69" customWidth="1"/>
    <col min="7692" max="7914" width="7" style="69"/>
    <col min="7915" max="7915" width="12.375" style="69" customWidth="1"/>
    <col min="7916" max="7917" width="7.625" style="69" customWidth="1"/>
    <col min="7918" max="7918" width="14.375" style="69" customWidth="1"/>
    <col min="7919" max="7919" width="6.5" style="69" customWidth="1"/>
    <col min="7920" max="7920" width="3.75" style="69" customWidth="1"/>
    <col min="7921" max="7922" width="8.75" style="69" customWidth="1"/>
    <col min="7923" max="7923" width="3.75" style="69" customWidth="1"/>
    <col min="7924" max="7924" width="15.5" style="69" customWidth="1"/>
    <col min="7925" max="7925" width="38.625" style="69" customWidth="1"/>
    <col min="7926" max="7926" width="4.25" style="69" customWidth="1"/>
    <col min="7927" max="7927" width="11.75" style="69" customWidth="1"/>
    <col min="7928" max="7928" width="11.375" style="69" bestFit="1" customWidth="1"/>
    <col min="7929" max="7947" width="7" style="69" customWidth="1"/>
    <col min="7948" max="8170" width="7" style="69"/>
    <col min="8171" max="8171" width="12.375" style="69" customWidth="1"/>
    <col min="8172" max="8173" width="7.625" style="69" customWidth="1"/>
    <col min="8174" max="8174" width="14.375" style="69" customWidth="1"/>
    <col min="8175" max="8175" width="6.5" style="69" customWidth="1"/>
    <col min="8176" max="8176" width="3.75" style="69" customWidth="1"/>
    <col min="8177" max="8178" width="8.75" style="69" customWidth="1"/>
    <col min="8179" max="8179" width="3.75" style="69" customWidth="1"/>
    <col min="8180" max="8180" width="15.5" style="69" customWidth="1"/>
    <col min="8181" max="8181" width="38.625" style="69" customWidth="1"/>
    <col min="8182" max="8182" width="4.25" style="69" customWidth="1"/>
    <col min="8183" max="8183" width="11.75" style="69" customWidth="1"/>
    <col min="8184" max="8184" width="11.375" style="69" bestFit="1" customWidth="1"/>
    <col min="8185" max="8203" width="7" style="69" customWidth="1"/>
    <col min="8204" max="8426" width="7" style="69"/>
    <col min="8427" max="8427" width="12.375" style="69" customWidth="1"/>
    <col min="8428" max="8429" width="7.625" style="69" customWidth="1"/>
    <col min="8430" max="8430" width="14.375" style="69" customWidth="1"/>
    <col min="8431" max="8431" width="6.5" style="69" customWidth="1"/>
    <col min="8432" max="8432" width="3.75" style="69" customWidth="1"/>
    <col min="8433" max="8434" width="8.75" style="69" customWidth="1"/>
    <col min="8435" max="8435" width="3.75" style="69" customWidth="1"/>
    <col min="8436" max="8436" width="15.5" style="69" customWidth="1"/>
    <col min="8437" max="8437" width="38.625" style="69" customWidth="1"/>
    <col min="8438" max="8438" width="4.25" style="69" customWidth="1"/>
    <col min="8439" max="8439" width="11.75" style="69" customWidth="1"/>
    <col min="8440" max="8440" width="11.375" style="69" bestFit="1" customWidth="1"/>
    <col min="8441" max="8459" width="7" style="69" customWidth="1"/>
    <col min="8460" max="8682" width="7" style="69"/>
    <col min="8683" max="8683" width="12.375" style="69" customWidth="1"/>
    <col min="8684" max="8685" width="7.625" style="69" customWidth="1"/>
    <col min="8686" max="8686" width="14.375" style="69" customWidth="1"/>
    <col min="8687" max="8687" width="6.5" style="69" customWidth="1"/>
    <col min="8688" max="8688" width="3.75" style="69" customWidth="1"/>
    <col min="8689" max="8690" width="8.75" style="69" customWidth="1"/>
    <col min="8691" max="8691" width="3.75" style="69" customWidth="1"/>
    <col min="8692" max="8692" width="15.5" style="69" customWidth="1"/>
    <col min="8693" max="8693" width="38.625" style="69" customWidth="1"/>
    <col min="8694" max="8694" width="4.25" style="69" customWidth="1"/>
    <col min="8695" max="8695" width="11.75" style="69" customWidth="1"/>
    <col min="8696" max="8696" width="11.375" style="69" bestFit="1" customWidth="1"/>
    <col min="8697" max="8715" width="7" style="69" customWidth="1"/>
    <col min="8716" max="8938" width="7" style="69"/>
    <col min="8939" max="8939" width="12.375" style="69" customWidth="1"/>
    <col min="8940" max="8941" width="7.625" style="69" customWidth="1"/>
    <col min="8942" max="8942" width="14.375" style="69" customWidth="1"/>
    <col min="8943" max="8943" width="6.5" style="69" customWidth="1"/>
    <col min="8944" max="8944" width="3.75" style="69" customWidth="1"/>
    <col min="8945" max="8946" width="8.75" style="69" customWidth="1"/>
    <col min="8947" max="8947" width="3.75" style="69" customWidth="1"/>
    <col min="8948" max="8948" width="15.5" style="69" customWidth="1"/>
    <col min="8949" max="8949" width="38.625" style="69" customWidth="1"/>
    <col min="8950" max="8950" width="4.25" style="69" customWidth="1"/>
    <col min="8951" max="8951" width="11.75" style="69" customWidth="1"/>
    <col min="8952" max="8952" width="11.375" style="69" bestFit="1" customWidth="1"/>
    <col min="8953" max="8971" width="7" style="69" customWidth="1"/>
    <col min="8972" max="9194" width="7" style="69"/>
    <col min="9195" max="9195" width="12.375" style="69" customWidth="1"/>
    <col min="9196" max="9197" width="7.625" style="69" customWidth="1"/>
    <col min="9198" max="9198" width="14.375" style="69" customWidth="1"/>
    <col min="9199" max="9199" width="6.5" style="69" customWidth="1"/>
    <col min="9200" max="9200" width="3.75" style="69" customWidth="1"/>
    <col min="9201" max="9202" width="8.75" style="69" customWidth="1"/>
    <col min="9203" max="9203" width="3.75" style="69" customWidth="1"/>
    <col min="9204" max="9204" width="15.5" style="69" customWidth="1"/>
    <col min="9205" max="9205" width="38.625" style="69" customWidth="1"/>
    <col min="9206" max="9206" width="4.25" style="69" customWidth="1"/>
    <col min="9207" max="9207" width="11.75" style="69" customWidth="1"/>
    <col min="9208" max="9208" width="11.375" style="69" bestFit="1" customWidth="1"/>
    <col min="9209" max="9227" width="7" style="69" customWidth="1"/>
    <col min="9228" max="9450" width="7" style="69"/>
    <col min="9451" max="9451" width="12.375" style="69" customWidth="1"/>
    <col min="9452" max="9453" width="7.625" style="69" customWidth="1"/>
    <col min="9454" max="9454" width="14.375" style="69" customWidth="1"/>
    <col min="9455" max="9455" width="6.5" style="69" customWidth="1"/>
    <col min="9456" max="9456" width="3.75" style="69" customWidth="1"/>
    <col min="9457" max="9458" width="8.75" style="69" customWidth="1"/>
    <col min="9459" max="9459" width="3.75" style="69" customWidth="1"/>
    <col min="9460" max="9460" width="15.5" style="69" customWidth="1"/>
    <col min="9461" max="9461" width="38.625" style="69" customWidth="1"/>
    <col min="9462" max="9462" width="4.25" style="69" customWidth="1"/>
    <col min="9463" max="9463" width="11.75" style="69" customWidth="1"/>
    <col min="9464" max="9464" width="11.375" style="69" bestFit="1" customWidth="1"/>
    <col min="9465" max="9483" width="7" style="69" customWidth="1"/>
    <col min="9484" max="9706" width="7" style="69"/>
    <col min="9707" max="9707" width="12.375" style="69" customWidth="1"/>
    <col min="9708" max="9709" width="7.625" style="69" customWidth="1"/>
    <col min="9710" max="9710" width="14.375" style="69" customWidth="1"/>
    <col min="9711" max="9711" width="6.5" style="69" customWidth="1"/>
    <col min="9712" max="9712" width="3.75" style="69" customWidth="1"/>
    <col min="9713" max="9714" width="8.75" style="69" customWidth="1"/>
    <col min="9715" max="9715" width="3.75" style="69" customWidth="1"/>
    <col min="9716" max="9716" width="15.5" style="69" customWidth="1"/>
    <col min="9717" max="9717" width="38.625" style="69" customWidth="1"/>
    <col min="9718" max="9718" width="4.25" style="69" customWidth="1"/>
    <col min="9719" max="9719" width="11.75" style="69" customWidth="1"/>
    <col min="9720" max="9720" width="11.375" style="69" bestFit="1" customWidth="1"/>
    <col min="9721" max="9739" width="7" style="69" customWidth="1"/>
    <col min="9740" max="9962" width="7" style="69"/>
    <col min="9963" max="9963" width="12.375" style="69" customWidth="1"/>
    <col min="9964" max="9965" width="7.625" style="69" customWidth="1"/>
    <col min="9966" max="9966" width="14.375" style="69" customWidth="1"/>
    <col min="9967" max="9967" width="6.5" style="69" customWidth="1"/>
    <col min="9968" max="9968" width="3.75" style="69" customWidth="1"/>
    <col min="9969" max="9970" width="8.75" style="69" customWidth="1"/>
    <col min="9971" max="9971" width="3.75" style="69" customWidth="1"/>
    <col min="9972" max="9972" width="15.5" style="69" customWidth="1"/>
    <col min="9973" max="9973" width="38.625" style="69" customWidth="1"/>
    <col min="9974" max="9974" width="4.25" style="69" customWidth="1"/>
    <col min="9975" max="9975" width="11.75" style="69" customWidth="1"/>
    <col min="9976" max="9976" width="11.375" style="69" bestFit="1" customWidth="1"/>
    <col min="9977" max="9995" width="7" style="69" customWidth="1"/>
    <col min="9996" max="10218" width="7" style="69"/>
    <col min="10219" max="10219" width="12.375" style="69" customWidth="1"/>
    <col min="10220" max="10221" width="7.625" style="69" customWidth="1"/>
    <col min="10222" max="10222" width="14.375" style="69" customWidth="1"/>
    <col min="10223" max="10223" width="6.5" style="69" customWidth="1"/>
    <col min="10224" max="10224" width="3.75" style="69" customWidth="1"/>
    <col min="10225" max="10226" width="8.75" style="69" customWidth="1"/>
    <col min="10227" max="10227" width="3.75" style="69" customWidth="1"/>
    <col min="10228" max="10228" width="15.5" style="69" customWidth="1"/>
    <col min="10229" max="10229" width="38.625" style="69" customWidth="1"/>
    <col min="10230" max="10230" width="4.25" style="69" customWidth="1"/>
    <col min="10231" max="10231" width="11.75" style="69" customWidth="1"/>
    <col min="10232" max="10232" width="11.375" style="69" bestFit="1" customWidth="1"/>
    <col min="10233" max="10251" width="7" style="69" customWidth="1"/>
    <col min="10252" max="10474" width="7" style="69"/>
    <col min="10475" max="10475" width="12.375" style="69" customWidth="1"/>
    <col min="10476" max="10477" width="7.625" style="69" customWidth="1"/>
    <col min="10478" max="10478" width="14.375" style="69" customWidth="1"/>
    <col min="10479" max="10479" width="6.5" style="69" customWidth="1"/>
    <col min="10480" max="10480" width="3.75" style="69" customWidth="1"/>
    <col min="10481" max="10482" width="8.75" style="69" customWidth="1"/>
    <col min="10483" max="10483" width="3.75" style="69" customWidth="1"/>
    <col min="10484" max="10484" width="15.5" style="69" customWidth="1"/>
    <col min="10485" max="10485" width="38.625" style="69" customWidth="1"/>
    <col min="10486" max="10486" width="4.25" style="69" customWidth="1"/>
    <col min="10487" max="10487" width="11.75" style="69" customWidth="1"/>
    <col min="10488" max="10488" width="11.375" style="69" bestFit="1" customWidth="1"/>
    <col min="10489" max="10507" width="7" style="69" customWidth="1"/>
    <col min="10508" max="10730" width="7" style="69"/>
    <col min="10731" max="10731" width="12.375" style="69" customWidth="1"/>
    <col min="10732" max="10733" width="7.625" style="69" customWidth="1"/>
    <col min="10734" max="10734" width="14.375" style="69" customWidth="1"/>
    <col min="10735" max="10735" width="6.5" style="69" customWidth="1"/>
    <col min="10736" max="10736" width="3.75" style="69" customWidth="1"/>
    <col min="10737" max="10738" width="8.75" style="69" customWidth="1"/>
    <col min="10739" max="10739" width="3.75" style="69" customWidth="1"/>
    <col min="10740" max="10740" width="15.5" style="69" customWidth="1"/>
    <col min="10741" max="10741" width="38.625" style="69" customWidth="1"/>
    <col min="10742" max="10742" width="4.25" style="69" customWidth="1"/>
    <col min="10743" max="10743" width="11.75" style="69" customWidth="1"/>
    <col min="10744" max="10744" width="11.375" style="69" bestFit="1" customWidth="1"/>
    <col min="10745" max="10763" width="7" style="69" customWidth="1"/>
    <col min="10764" max="10986" width="7" style="69"/>
    <col min="10987" max="10987" width="12.375" style="69" customWidth="1"/>
    <col min="10988" max="10989" width="7.625" style="69" customWidth="1"/>
    <col min="10990" max="10990" width="14.375" style="69" customWidth="1"/>
    <col min="10991" max="10991" width="6.5" style="69" customWidth="1"/>
    <col min="10992" max="10992" width="3.75" style="69" customWidth="1"/>
    <col min="10993" max="10994" width="8.75" style="69" customWidth="1"/>
    <col min="10995" max="10995" width="3.75" style="69" customWidth="1"/>
    <col min="10996" max="10996" width="15.5" style="69" customWidth="1"/>
    <col min="10997" max="10997" width="38.625" style="69" customWidth="1"/>
    <col min="10998" max="10998" width="4.25" style="69" customWidth="1"/>
    <col min="10999" max="10999" width="11.75" style="69" customWidth="1"/>
    <col min="11000" max="11000" width="11.375" style="69" bestFit="1" customWidth="1"/>
    <col min="11001" max="11019" width="7" style="69" customWidth="1"/>
    <col min="11020" max="11242" width="7" style="69"/>
    <col min="11243" max="11243" width="12.375" style="69" customWidth="1"/>
    <col min="11244" max="11245" width="7.625" style="69" customWidth="1"/>
    <col min="11246" max="11246" width="14.375" style="69" customWidth="1"/>
    <col min="11247" max="11247" width="6.5" style="69" customWidth="1"/>
    <col min="11248" max="11248" width="3.75" style="69" customWidth="1"/>
    <col min="11249" max="11250" width="8.75" style="69" customWidth="1"/>
    <col min="11251" max="11251" width="3.75" style="69" customWidth="1"/>
    <col min="11252" max="11252" width="15.5" style="69" customWidth="1"/>
    <col min="11253" max="11253" width="38.625" style="69" customWidth="1"/>
    <col min="11254" max="11254" width="4.25" style="69" customWidth="1"/>
    <col min="11255" max="11255" width="11.75" style="69" customWidth="1"/>
    <col min="11256" max="11256" width="11.375" style="69" bestFit="1" customWidth="1"/>
    <col min="11257" max="11275" width="7" style="69" customWidth="1"/>
    <col min="11276" max="11498" width="7" style="69"/>
    <col min="11499" max="11499" width="12.375" style="69" customWidth="1"/>
    <col min="11500" max="11501" width="7.625" style="69" customWidth="1"/>
    <col min="11502" max="11502" width="14.375" style="69" customWidth="1"/>
    <col min="11503" max="11503" width="6.5" style="69" customWidth="1"/>
    <col min="11504" max="11504" width="3.75" style="69" customWidth="1"/>
    <col min="11505" max="11506" width="8.75" style="69" customWidth="1"/>
    <col min="11507" max="11507" width="3.75" style="69" customWidth="1"/>
    <col min="11508" max="11508" width="15.5" style="69" customWidth="1"/>
    <col min="11509" max="11509" width="38.625" style="69" customWidth="1"/>
    <col min="11510" max="11510" width="4.25" style="69" customWidth="1"/>
    <col min="11511" max="11511" width="11.75" style="69" customWidth="1"/>
    <col min="11512" max="11512" width="11.375" style="69" bestFit="1" customWidth="1"/>
    <col min="11513" max="11531" width="7" style="69" customWidth="1"/>
    <col min="11532" max="11754" width="7" style="69"/>
    <col min="11755" max="11755" width="12.375" style="69" customWidth="1"/>
    <col min="11756" max="11757" width="7.625" style="69" customWidth="1"/>
    <col min="11758" max="11758" width="14.375" style="69" customWidth="1"/>
    <col min="11759" max="11759" width="6.5" style="69" customWidth="1"/>
    <col min="11760" max="11760" width="3.75" style="69" customWidth="1"/>
    <col min="11761" max="11762" width="8.75" style="69" customWidth="1"/>
    <col min="11763" max="11763" width="3.75" style="69" customWidth="1"/>
    <col min="11764" max="11764" width="15.5" style="69" customWidth="1"/>
    <col min="11765" max="11765" width="38.625" style="69" customWidth="1"/>
    <col min="11766" max="11766" width="4.25" style="69" customWidth="1"/>
    <col min="11767" max="11767" width="11.75" style="69" customWidth="1"/>
    <col min="11768" max="11768" width="11.375" style="69" bestFit="1" customWidth="1"/>
    <col min="11769" max="11787" width="7" style="69" customWidth="1"/>
    <col min="11788" max="12010" width="7" style="69"/>
    <col min="12011" max="12011" width="12.375" style="69" customWidth="1"/>
    <col min="12012" max="12013" width="7.625" style="69" customWidth="1"/>
    <col min="12014" max="12014" width="14.375" style="69" customWidth="1"/>
    <col min="12015" max="12015" width="6.5" style="69" customWidth="1"/>
    <col min="12016" max="12016" width="3.75" style="69" customWidth="1"/>
    <col min="12017" max="12018" width="8.75" style="69" customWidth="1"/>
    <col min="12019" max="12019" width="3.75" style="69" customWidth="1"/>
    <col min="12020" max="12020" width="15.5" style="69" customWidth="1"/>
    <col min="12021" max="12021" width="38.625" style="69" customWidth="1"/>
    <col min="12022" max="12022" width="4.25" style="69" customWidth="1"/>
    <col min="12023" max="12023" width="11.75" style="69" customWidth="1"/>
    <col min="12024" max="12024" width="11.375" style="69" bestFit="1" customWidth="1"/>
    <col min="12025" max="12043" width="7" style="69" customWidth="1"/>
    <col min="12044" max="12266" width="7" style="69"/>
    <col min="12267" max="12267" width="12.375" style="69" customWidth="1"/>
    <col min="12268" max="12269" width="7.625" style="69" customWidth="1"/>
    <col min="12270" max="12270" width="14.375" style="69" customWidth="1"/>
    <col min="12271" max="12271" width="6.5" style="69" customWidth="1"/>
    <col min="12272" max="12272" width="3.75" style="69" customWidth="1"/>
    <col min="12273" max="12274" width="8.75" style="69" customWidth="1"/>
    <col min="12275" max="12275" width="3.75" style="69" customWidth="1"/>
    <col min="12276" max="12276" width="15.5" style="69" customWidth="1"/>
    <col min="12277" max="12277" width="38.625" style="69" customWidth="1"/>
    <col min="12278" max="12278" width="4.25" style="69" customWidth="1"/>
    <col min="12279" max="12279" width="11.75" style="69" customWidth="1"/>
    <col min="12280" max="12280" width="11.375" style="69" bestFit="1" customWidth="1"/>
    <col min="12281" max="12299" width="7" style="69" customWidth="1"/>
    <col min="12300" max="12522" width="7" style="69"/>
    <col min="12523" max="12523" width="12.375" style="69" customWidth="1"/>
    <col min="12524" max="12525" width="7.625" style="69" customWidth="1"/>
    <col min="12526" max="12526" width="14.375" style="69" customWidth="1"/>
    <col min="12527" max="12527" width="6.5" style="69" customWidth="1"/>
    <col min="12528" max="12528" width="3.75" style="69" customWidth="1"/>
    <col min="12529" max="12530" width="8.75" style="69" customWidth="1"/>
    <col min="12531" max="12531" width="3.75" style="69" customWidth="1"/>
    <col min="12532" max="12532" width="15.5" style="69" customWidth="1"/>
    <col min="12533" max="12533" width="38.625" style="69" customWidth="1"/>
    <col min="12534" max="12534" width="4.25" style="69" customWidth="1"/>
    <col min="12535" max="12535" width="11.75" style="69" customWidth="1"/>
    <col min="12536" max="12536" width="11.375" style="69" bestFit="1" customWidth="1"/>
    <col min="12537" max="12555" width="7" style="69" customWidth="1"/>
    <col min="12556" max="12778" width="7" style="69"/>
    <col min="12779" max="12779" width="12.375" style="69" customWidth="1"/>
    <col min="12780" max="12781" width="7.625" style="69" customWidth="1"/>
    <col min="12782" max="12782" width="14.375" style="69" customWidth="1"/>
    <col min="12783" max="12783" width="6.5" style="69" customWidth="1"/>
    <col min="12784" max="12784" width="3.75" style="69" customWidth="1"/>
    <col min="12785" max="12786" width="8.75" style="69" customWidth="1"/>
    <col min="12787" max="12787" width="3.75" style="69" customWidth="1"/>
    <col min="12788" max="12788" width="15.5" style="69" customWidth="1"/>
    <col min="12789" max="12789" width="38.625" style="69" customWidth="1"/>
    <col min="12790" max="12790" width="4.25" style="69" customWidth="1"/>
    <col min="12791" max="12791" width="11.75" style="69" customWidth="1"/>
    <col min="12792" max="12792" width="11.375" style="69" bestFit="1" customWidth="1"/>
    <col min="12793" max="12811" width="7" style="69" customWidth="1"/>
    <col min="12812" max="13034" width="7" style="69"/>
    <col min="13035" max="13035" width="12.375" style="69" customWidth="1"/>
    <col min="13036" max="13037" width="7.625" style="69" customWidth="1"/>
    <col min="13038" max="13038" width="14.375" style="69" customWidth="1"/>
    <col min="13039" max="13039" width="6.5" style="69" customWidth="1"/>
    <col min="13040" max="13040" width="3.75" style="69" customWidth="1"/>
    <col min="13041" max="13042" width="8.75" style="69" customWidth="1"/>
    <col min="13043" max="13043" width="3.75" style="69" customWidth="1"/>
    <col min="13044" max="13044" width="15.5" style="69" customWidth="1"/>
    <col min="13045" max="13045" width="38.625" style="69" customWidth="1"/>
    <col min="13046" max="13046" width="4.25" style="69" customWidth="1"/>
    <col min="13047" max="13047" width="11.75" style="69" customWidth="1"/>
    <col min="13048" max="13048" width="11.375" style="69" bestFit="1" customWidth="1"/>
    <col min="13049" max="13067" width="7" style="69" customWidth="1"/>
    <col min="13068" max="13290" width="7" style="69"/>
    <col min="13291" max="13291" width="12.375" style="69" customWidth="1"/>
    <col min="13292" max="13293" width="7.625" style="69" customWidth="1"/>
    <col min="13294" max="13294" width="14.375" style="69" customWidth="1"/>
    <col min="13295" max="13295" width="6.5" style="69" customWidth="1"/>
    <col min="13296" max="13296" width="3.75" style="69" customWidth="1"/>
    <col min="13297" max="13298" width="8.75" style="69" customWidth="1"/>
    <col min="13299" max="13299" width="3.75" style="69" customWidth="1"/>
    <col min="13300" max="13300" width="15.5" style="69" customWidth="1"/>
    <col min="13301" max="13301" width="38.625" style="69" customWidth="1"/>
    <col min="13302" max="13302" width="4.25" style="69" customWidth="1"/>
    <col min="13303" max="13303" width="11.75" style="69" customWidth="1"/>
    <col min="13304" max="13304" width="11.375" style="69" bestFit="1" customWidth="1"/>
    <col min="13305" max="13323" width="7" style="69" customWidth="1"/>
    <col min="13324" max="13546" width="7" style="69"/>
    <col min="13547" max="13547" width="12.375" style="69" customWidth="1"/>
    <col min="13548" max="13549" width="7.625" style="69" customWidth="1"/>
    <col min="13550" max="13550" width="14.375" style="69" customWidth="1"/>
    <col min="13551" max="13551" width="6.5" style="69" customWidth="1"/>
    <col min="13552" max="13552" width="3.75" style="69" customWidth="1"/>
    <col min="13553" max="13554" width="8.75" style="69" customWidth="1"/>
    <col min="13555" max="13555" width="3.75" style="69" customWidth="1"/>
    <col min="13556" max="13556" width="15.5" style="69" customWidth="1"/>
    <col min="13557" max="13557" width="38.625" style="69" customWidth="1"/>
    <col min="13558" max="13558" width="4.25" style="69" customWidth="1"/>
    <col min="13559" max="13559" width="11.75" style="69" customWidth="1"/>
    <col min="13560" max="13560" width="11.375" style="69" bestFit="1" customWidth="1"/>
    <col min="13561" max="13579" width="7" style="69" customWidth="1"/>
    <col min="13580" max="13802" width="7" style="69"/>
    <col min="13803" max="13803" width="12.375" style="69" customWidth="1"/>
    <col min="13804" max="13805" width="7.625" style="69" customWidth="1"/>
    <col min="13806" max="13806" width="14.375" style="69" customWidth="1"/>
    <col min="13807" max="13807" width="6.5" style="69" customWidth="1"/>
    <col min="13808" max="13808" width="3.75" style="69" customWidth="1"/>
    <col min="13809" max="13810" width="8.75" style="69" customWidth="1"/>
    <col min="13811" max="13811" width="3.75" style="69" customWidth="1"/>
    <col min="13812" max="13812" width="15.5" style="69" customWidth="1"/>
    <col min="13813" max="13813" width="38.625" style="69" customWidth="1"/>
    <col min="13814" max="13814" width="4.25" style="69" customWidth="1"/>
    <col min="13815" max="13815" width="11.75" style="69" customWidth="1"/>
    <col min="13816" max="13816" width="11.375" style="69" bestFit="1" customWidth="1"/>
    <col min="13817" max="13835" width="7" style="69" customWidth="1"/>
    <col min="13836" max="14058" width="7" style="69"/>
    <col min="14059" max="14059" width="12.375" style="69" customWidth="1"/>
    <col min="14060" max="14061" width="7.625" style="69" customWidth="1"/>
    <col min="14062" max="14062" width="14.375" style="69" customWidth="1"/>
    <col min="14063" max="14063" width="6.5" style="69" customWidth="1"/>
    <col min="14064" max="14064" width="3.75" style="69" customWidth="1"/>
    <col min="14065" max="14066" width="8.75" style="69" customWidth="1"/>
    <col min="14067" max="14067" width="3.75" style="69" customWidth="1"/>
    <col min="14068" max="14068" width="15.5" style="69" customWidth="1"/>
    <col min="14069" max="14069" width="38.625" style="69" customWidth="1"/>
    <col min="14070" max="14070" width="4.25" style="69" customWidth="1"/>
    <col min="14071" max="14071" width="11.75" style="69" customWidth="1"/>
    <col min="14072" max="14072" width="11.375" style="69" bestFit="1" customWidth="1"/>
    <col min="14073" max="14091" width="7" style="69" customWidth="1"/>
    <col min="14092" max="14314" width="7" style="69"/>
    <col min="14315" max="14315" width="12.375" style="69" customWidth="1"/>
    <col min="14316" max="14317" width="7.625" style="69" customWidth="1"/>
    <col min="14318" max="14318" width="14.375" style="69" customWidth="1"/>
    <col min="14319" max="14319" width="6.5" style="69" customWidth="1"/>
    <col min="14320" max="14320" width="3.75" style="69" customWidth="1"/>
    <col min="14321" max="14322" width="8.75" style="69" customWidth="1"/>
    <col min="14323" max="14323" width="3.75" style="69" customWidth="1"/>
    <col min="14324" max="14324" width="15.5" style="69" customWidth="1"/>
    <col min="14325" max="14325" width="38.625" style="69" customWidth="1"/>
    <col min="14326" max="14326" width="4.25" style="69" customWidth="1"/>
    <col min="14327" max="14327" width="11.75" style="69" customWidth="1"/>
    <col min="14328" max="14328" width="11.375" style="69" bestFit="1" customWidth="1"/>
    <col min="14329" max="14347" width="7" style="69" customWidth="1"/>
    <col min="14348" max="14570" width="7" style="69"/>
    <col min="14571" max="14571" width="12.375" style="69" customWidth="1"/>
    <col min="14572" max="14573" width="7.625" style="69" customWidth="1"/>
    <col min="14574" max="14574" width="14.375" style="69" customWidth="1"/>
    <col min="14575" max="14575" width="6.5" style="69" customWidth="1"/>
    <col min="14576" max="14576" width="3.75" style="69" customWidth="1"/>
    <col min="14577" max="14578" width="8.75" style="69" customWidth="1"/>
    <col min="14579" max="14579" width="3.75" style="69" customWidth="1"/>
    <col min="14580" max="14580" width="15.5" style="69" customWidth="1"/>
    <col min="14581" max="14581" width="38.625" style="69" customWidth="1"/>
    <col min="14582" max="14582" width="4.25" style="69" customWidth="1"/>
    <col min="14583" max="14583" width="11.75" style="69" customWidth="1"/>
    <col min="14584" max="14584" width="11.375" style="69" bestFit="1" customWidth="1"/>
    <col min="14585" max="14603" width="7" style="69" customWidth="1"/>
    <col min="14604" max="14826" width="7" style="69"/>
    <col min="14827" max="14827" width="12.375" style="69" customWidth="1"/>
    <col min="14828" max="14829" width="7.625" style="69" customWidth="1"/>
    <col min="14830" max="14830" width="14.375" style="69" customWidth="1"/>
    <col min="14831" max="14831" width="6.5" style="69" customWidth="1"/>
    <col min="14832" max="14832" width="3.75" style="69" customWidth="1"/>
    <col min="14833" max="14834" width="8.75" style="69" customWidth="1"/>
    <col min="14835" max="14835" width="3.75" style="69" customWidth="1"/>
    <col min="14836" max="14836" width="15.5" style="69" customWidth="1"/>
    <col min="14837" max="14837" width="38.625" style="69" customWidth="1"/>
    <col min="14838" max="14838" width="4.25" style="69" customWidth="1"/>
    <col min="14839" max="14839" width="11.75" style="69" customWidth="1"/>
    <col min="14840" max="14840" width="11.375" style="69" bestFit="1" customWidth="1"/>
    <col min="14841" max="14859" width="7" style="69" customWidth="1"/>
    <col min="14860" max="15082" width="7" style="69"/>
    <col min="15083" max="15083" width="12.375" style="69" customWidth="1"/>
    <col min="15084" max="15085" width="7.625" style="69" customWidth="1"/>
    <col min="15086" max="15086" width="14.375" style="69" customWidth="1"/>
    <col min="15087" max="15087" width="6.5" style="69" customWidth="1"/>
    <col min="15088" max="15088" width="3.75" style="69" customWidth="1"/>
    <col min="15089" max="15090" width="8.75" style="69" customWidth="1"/>
    <col min="15091" max="15091" width="3.75" style="69" customWidth="1"/>
    <col min="15092" max="15092" width="15.5" style="69" customWidth="1"/>
    <col min="15093" max="15093" width="38.625" style="69" customWidth="1"/>
    <col min="15094" max="15094" width="4.25" style="69" customWidth="1"/>
    <col min="15095" max="15095" width="11.75" style="69" customWidth="1"/>
    <col min="15096" max="15096" width="11.375" style="69" bestFit="1" customWidth="1"/>
    <col min="15097" max="15115" width="7" style="69" customWidth="1"/>
    <col min="15116" max="15338" width="7" style="69"/>
    <col min="15339" max="15339" width="12.375" style="69" customWidth="1"/>
    <col min="15340" max="15341" width="7.625" style="69" customWidth="1"/>
    <col min="15342" max="15342" width="14.375" style="69" customWidth="1"/>
    <col min="15343" max="15343" width="6.5" style="69" customWidth="1"/>
    <col min="15344" max="15344" width="3.75" style="69" customWidth="1"/>
    <col min="15345" max="15346" width="8.75" style="69" customWidth="1"/>
    <col min="15347" max="15347" width="3.75" style="69" customWidth="1"/>
    <col min="15348" max="15348" width="15.5" style="69" customWidth="1"/>
    <col min="15349" max="15349" width="38.625" style="69" customWidth="1"/>
    <col min="15350" max="15350" width="4.25" style="69" customWidth="1"/>
    <col min="15351" max="15351" width="11.75" style="69" customWidth="1"/>
    <col min="15352" max="15352" width="11.375" style="69" bestFit="1" customWidth="1"/>
    <col min="15353" max="15371" width="7" style="69" customWidth="1"/>
    <col min="15372" max="15594" width="7" style="69"/>
    <col min="15595" max="15595" width="12.375" style="69" customWidth="1"/>
    <col min="15596" max="15597" width="7.625" style="69" customWidth="1"/>
    <col min="15598" max="15598" width="14.375" style="69" customWidth="1"/>
    <col min="15599" max="15599" width="6.5" style="69" customWidth="1"/>
    <col min="15600" max="15600" width="3.75" style="69" customWidth="1"/>
    <col min="15601" max="15602" width="8.75" style="69" customWidth="1"/>
    <col min="15603" max="15603" width="3.75" style="69" customWidth="1"/>
    <col min="15604" max="15604" width="15.5" style="69" customWidth="1"/>
    <col min="15605" max="15605" width="38.625" style="69" customWidth="1"/>
    <col min="15606" max="15606" width="4.25" style="69" customWidth="1"/>
    <col min="15607" max="15607" width="11.75" style="69" customWidth="1"/>
    <col min="15608" max="15608" width="11.375" style="69" bestFit="1" customWidth="1"/>
    <col min="15609" max="15627" width="7" style="69" customWidth="1"/>
    <col min="15628" max="15850" width="7" style="69"/>
    <col min="15851" max="15851" width="12.375" style="69" customWidth="1"/>
    <col min="15852" max="15853" width="7.625" style="69" customWidth="1"/>
    <col min="15854" max="15854" width="14.375" style="69" customWidth="1"/>
    <col min="15855" max="15855" width="6.5" style="69" customWidth="1"/>
    <col min="15856" max="15856" width="3.75" style="69" customWidth="1"/>
    <col min="15857" max="15858" width="8.75" style="69" customWidth="1"/>
    <col min="15859" max="15859" width="3.75" style="69" customWidth="1"/>
    <col min="15860" max="15860" width="15.5" style="69" customWidth="1"/>
    <col min="15861" max="15861" width="38.625" style="69" customWidth="1"/>
    <col min="15862" max="15862" width="4.25" style="69" customWidth="1"/>
    <col min="15863" max="15863" width="11.75" style="69" customWidth="1"/>
    <col min="15864" max="15864" width="11.375" style="69" bestFit="1" customWidth="1"/>
    <col min="15865" max="15883" width="7" style="69" customWidth="1"/>
    <col min="15884" max="16106" width="7" style="69"/>
    <col min="16107" max="16107" width="12.375" style="69" customWidth="1"/>
    <col min="16108" max="16109" width="7.625" style="69" customWidth="1"/>
    <col min="16110" max="16110" width="14.375" style="69" customWidth="1"/>
    <col min="16111" max="16111" width="6.5" style="69" customWidth="1"/>
    <col min="16112" max="16112" width="3.75" style="69" customWidth="1"/>
    <col min="16113" max="16114" width="8.75" style="69" customWidth="1"/>
    <col min="16115" max="16115" width="3.75" style="69" customWidth="1"/>
    <col min="16116" max="16116" width="15.5" style="69" customWidth="1"/>
    <col min="16117" max="16117" width="38.625" style="69" customWidth="1"/>
    <col min="16118" max="16118" width="4.25" style="69" customWidth="1"/>
    <col min="16119" max="16119" width="11.75" style="69" customWidth="1"/>
    <col min="16120" max="16120" width="11.375" style="69" bestFit="1" customWidth="1"/>
    <col min="16121" max="16139" width="7" style="69" customWidth="1"/>
    <col min="16140" max="16384" width="7" style="69"/>
  </cols>
  <sheetData>
    <row r="1" spans="1:13" ht="45" customHeight="1" x14ac:dyDescent="0.3">
      <c r="B1" s="496" t="s">
        <v>652</v>
      </c>
      <c r="C1" s="599"/>
      <c r="D1" s="599"/>
      <c r="E1" s="599"/>
      <c r="F1" s="599"/>
      <c r="G1" s="599"/>
      <c r="H1" s="599"/>
      <c r="I1" s="599"/>
      <c r="J1" s="599"/>
      <c r="K1" s="600"/>
    </row>
    <row r="2" spans="1:13" ht="20.100000000000001" customHeight="1" x14ac:dyDescent="0.3">
      <c r="B2" s="129" t="e">
        <f>원가!#REF!</f>
        <v>#REF!</v>
      </c>
      <c r="C2" s="73"/>
      <c r="D2" s="73"/>
      <c r="E2" s="74"/>
      <c r="F2" s="74"/>
      <c r="G2" s="74"/>
      <c r="H2" s="74"/>
      <c r="I2" s="74"/>
      <c r="J2" s="74"/>
      <c r="K2" s="130"/>
    </row>
    <row r="3" spans="1:13" ht="20.100000000000001" customHeight="1" x14ac:dyDescent="0.3">
      <c r="B3" s="433" t="s">
        <v>449</v>
      </c>
      <c r="C3" s="434"/>
      <c r="D3" s="435"/>
      <c r="E3" s="440" t="s">
        <v>653</v>
      </c>
      <c r="F3" s="434"/>
      <c r="G3" s="434"/>
      <c r="H3" s="435"/>
      <c r="I3" s="440" t="s">
        <v>453</v>
      </c>
      <c r="J3" s="434"/>
      <c r="K3" s="441"/>
      <c r="L3" s="83"/>
    </row>
    <row r="4" spans="1:13" ht="20.100000000000001" customHeight="1" x14ac:dyDescent="0.3">
      <c r="B4" s="436"/>
      <c r="C4" s="437"/>
      <c r="D4" s="438"/>
      <c r="E4" s="442"/>
      <c r="F4" s="437"/>
      <c r="G4" s="437"/>
      <c r="H4" s="438"/>
      <c r="I4" s="442"/>
      <c r="J4" s="437"/>
      <c r="K4" s="443"/>
      <c r="L4" s="83"/>
    </row>
    <row r="5" spans="1:13" ht="30" customHeight="1" x14ac:dyDescent="0.3">
      <c r="B5" s="132" t="s">
        <v>654</v>
      </c>
      <c r="C5" s="479" t="s">
        <v>655</v>
      </c>
      <c r="D5" s="513"/>
      <c r="E5" s="601">
        <v>20</v>
      </c>
      <c r="F5" s="602"/>
      <c r="G5" s="602"/>
      <c r="H5" s="603"/>
      <c r="I5" s="601"/>
      <c r="J5" s="602"/>
      <c r="K5" s="604"/>
      <c r="L5" s="83"/>
    </row>
    <row r="6" spans="1:13" ht="20.100000000000001" customHeight="1" x14ac:dyDescent="0.3">
      <c r="B6" s="173"/>
      <c r="C6" s="174"/>
      <c r="D6" s="175"/>
      <c r="E6" s="149"/>
      <c r="F6" s="149"/>
      <c r="G6" s="149"/>
      <c r="H6" s="489"/>
      <c r="I6" s="489"/>
      <c r="J6" s="595" t="s">
        <v>481</v>
      </c>
      <c r="K6" s="596"/>
    </row>
    <row r="7" spans="1:13" ht="20.100000000000001" customHeight="1" x14ac:dyDescent="0.3">
      <c r="B7" s="532" t="s">
        <v>351</v>
      </c>
      <c r="C7" s="466"/>
      <c r="D7" s="466"/>
      <c r="E7" s="494"/>
      <c r="F7" s="465" t="s">
        <v>653</v>
      </c>
      <c r="G7" s="494"/>
      <c r="H7" s="142" t="s">
        <v>460</v>
      </c>
      <c r="I7" s="142" t="s">
        <v>461</v>
      </c>
      <c r="J7" s="533" t="s">
        <v>378</v>
      </c>
      <c r="K7" s="534"/>
    </row>
    <row r="8" spans="1:13" ht="20.100000000000001" customHeight="1" x14ac:dyDescent="0.3">
      <c r="A8" s="108" t="str">
        <f>IF(C5="저압계통연계",IF(E5&lt;=20,C15,IF(E5&gt;20,C16)),0)</f>
        <v>20KW까지</v>
      </c>
      <c r="B8" s="597" t="str">
        <f>C5</f>
        <v>저압계통연계</v>
      </c>
      <c r="C8" s="598"/>
      <c r="D8" s="90" t="s">
        <v>484</v>
      </c>
      <c r="E8" s="329" t="str">
        <f>IF(C5="저압계통연계",A8,A9)</f>
        <v>20KW까지</v>
      </c>
      <c r="F8" s="548">
        <v>1</v>
      </c>
      <c r="G8" s="549"/>
      <c r="H8" s="143">
        <f>VLOOKUP(E8,$C$15:$H$18,3,FALSE)</f>
        <v>81300</v>
      </c>
      <c r="I8" s="144">
        <f>IF(F8="","",H8*F8)</f>
        <v>81300</v>
      </c>
      <c r="J8" s="525" t="s">
        <v>463</v>
      </c>
      <c r="K8" s="526"/>
      <c r="M8" s="180"/>
    </row>
    <row r="9" spans="1:13" ht="20.100000000000001" customHeight="1" x14ac:dyDescent="0.3">
      <c r="A9" s="69">
        <f>IF(C5="특고압계통연계",IF(E5&lt;=500,C17,IF(E5&gt;500,C18)),0)</f>
        <v>0</v>
      </c>
      <c r="B9" s="458"/>
      <c r="C9" s="508"/>
      <c r="D9" s="90" t="s">
        <v>485</v>
      </c>
      <c r="E9" s="329" t="str">
        <f>E8</f>
        <v>20KW까지</v>
      </c>
      <c r="F9" s="553">
        <f>E5</f>
        <v>20</v>
      </c>
      <c r="G9" s="554"/>
      <c r="H9" s="143">
        <f>VLOOKUP(E9,$C$15:$H$18,5,FALSE)</f>
        <v>292</v>
      </c>
      <c r="I9" s="144">
        <f>IF(F9="","",H9*F9)</f>
        <v>5840</v>
      </c>
      <c r="J9" s="527"/>
      <c r="K9" s="528"/>
    </row>
    <row r="10" spans="1:13" ht="20.100000000000001" customHeight="1" x14ac:dyDescent="0.3">
      <c r="B10" s="458" t="s">
        <v>467</v>
      </c>
      <c r="C10" s="459"/>
      <c r="D10" s="459"/>
      <c r="E10" s="459"/>
      <c r="F10" s="459"/>
      <c r="G10" s="508"/>
      <c r="H10" s="509">
        <f>SUM(I8:I9)</f>
        <v>87140</v>
      </c>
      <c r="I10" s="510"/>
      <c r="J10" s="447"/>
      <c r="K10" s="448"/>
      <c r="L10" s="92"/>
    </row>
    <row r="11" spans="1:13" ht="20.100000000000001" customHeight="1" x14ac:dyDescent="0.3">
      <c r="B11" s="458" t="s">
        <v>468</v>
      </c>
      <c r="C11" s="459"/>
      <c r="D11" s="459"/>
      <c r="E11" s="459"/>
      <c r="F11" s="459"/>
      <c r="G11" s="508"/>
      <c r="H11" s="509">
        <f>H10*J11</f>
        <v>8714</v>
      </c>
      <c r="I11" s="510"/>
      <c r="J11" s="495">
        <v>0.1</v>
      </c>
      <c r="K11" s="594"/>
    </row>
    <row r="12" spans="1:13" ht="20.100000000000001" customHeight="1" x14ac:dyDescent="0.3">
      <c r="B12" s="511" t="s">
        <v>469</v>
      </c>
      <c r="C12" s="512"/>
      <c r="D12" s="512"/>
      <c r="E12" s="512"/>
      <c r="F12" s="512"/>
      <c r="G12" s="513"/>
      <c r="H12" s="514">
        <f>ROUNDUP(SUM(H10:I11),-3)</f>
        <v>96000</v>
      </c>
      <c r="I12" s="515"/>
      <c r="J12" s="479" t="s">
        <v>486</v>
      </c>
      <c r="K12" s="480"/>
    </row>
    <row r="13" spans="1:13" ht="20.100000000000001" customHeight="1" x14ac:dyDescent="0.3">
      <c r="B13" s="182"/>
      <c r="C13" s="183"/>
      <c r="D13" s="183"/>
      <c r="E13" s="183"/>
      <c r="F13" s="183"/>
      <c r="G13" s="183"/>
      <c r="H13" s="183"/>
      <c r="I13" s="183"/>
      <c r="J13" s="183"/>
      <c r="K13" s="184" t="s">
        <v>459</v>
      </c>
    </row>
    <row r="14" spans="1:13" ht="20.100000000000001" customHeight="1" x14ac:dyDescent="0.3">
      <c r="B14" s="532" t="s">
        <v>487</v>
      </c>
      <c r="C14" s="466"/>
      <c r="D14" s="494"/>
      <c r="E14" s="465" t="s">
        <v>488</v>
      </c>
      <c r="F14" s="494"/>
      <c r="G14" s="465" t="s">
        <v>489</v>
      </c>
      <c r="H14" s="494"/>
      <c r="I14" s="465" t="s">
        <v>472</v>
      </c>
      <c r="J14" s="466"/>
      <c r="K14" s="593"/>
    </row>
    <row r="15" spans="1:13" ht="20.100000000000001" customHeight="1" x14ac:dyDescent="0.3">
      <c r="A15" s="145"/>
      <c r="B15" s="145" t="s">
        <v>656</v>
      </c>
      <c r="C15" s="587" t="s">
        <v>657</v>
      </c>
      <c r="D15" s="588"/>
      <c r="E15" s="589">
        <v>81300</v>
      </c>
      <c r="F15" s="590"/>
      <c r="G15" s="589">
        <v>292</v>
      </c>
      <c r="H15" s="590"/>
      <c r="I15" s="447"/>
      <c r="J15" s="459"/>
      <c r="K15" s="448"/>
    </row>
    <row r="16" spans="1:13" ht="20.100000000000001" customHeight="1" x14ac:dyDescent="0.3">
      <c r="A16" s="145"/>
      <c r="B16" s="145"/>
      <c r="C16" s="587" t="s">
        <v>658</v>
      </c>
      <c r="D16" s="588"/>
      <c r="E16" s="589">
        <v>138000</v>
      </c>
      <c r="F16" s="590"/>
      <c r="G16" s="589">
        <v>611</v>
      </c>
      <c r="H16" s="590"/>
      <c r="I16" s="447"/>
      <c r="J16" s="459"/>
      <c r="K16" s="448"/>
    </row>
    <row r="17" spans="2:11" ht="20.100000000000001" customHeight="1" x14ac:dyDescent="0.3">
      <c r="B17" s="145" t="s">
        <v>659</v>
      </c>
      <c r="C17" s="587" t="s">
        <v>514</v>
      </c>
      <c r="D17" s="588"/>
      <c r="E17" s="589">
        <v>239600</v>
      </c>
      <c r="F17" s="590"/>
      <c r="G17" s="589">
        <v>426</v>
      </c>
      <c r="H17" s="590"/>
      <c r="I17" s="447"/>
      <c r="J17" s="459"/>
      <c r="K17" s="448"/>
    </row>
    <row r="18" spans="2:11" ht="20.100000000000001" customHeight="1" x14ac:dyDescent="0.3">
      <c r="B18" s="132"/>
      <c r="C18" s="591" t="s">
        <v>660</v>
      </c>
      <c r="D18" s="592"/>
      <c r="E18" s="559">
        <v>351900</v>
      </c>
      <c r="F18" s="560"/>
      <c r="G18" s="559">
        <v>349</v>
      </c>
      <c r="H18" s="560"/>
      <c r="I18" s="479"/>
      <c r="J18" s="512"/>
      <c r="K18" s="480"/>
    </row>
    <row r="19" spans="2:11" ht="20.100000000000001" customHeight="1" x14ac:dyDescent="0.3">
      <c r="B19" s="330"/>
      <c r="C19" s="581"/>
      <c r="D19" s="581"/>
      <c r="E19" s="582"/>
      <c r="F19" s="582"/>
      <c r="G19" s="582"/>
      <c r="H19" s="582"/>
      <c r="I19" s="434"/>
      <c r="J19" s="434"/>
      <c r="K19" s="441"/>
    </row>
    <row r="20" spans="2:11" ht="20.100000000000001" customHeight="1" x14ac:dyDescent="0.3">
      <c r="B20" s="139"/>
      <c r="C20" s="583"/>
      <c r="D20" s="583"/>
      <c r="E20" s="584"/>
      <c r="F20" s="584"/>
      <c r="G20" s="584"/>
      <c r="H20" s="584"/>
      <c r="I20" s="585"/>
      <c r="J20" s="585"/>
      <c r="K20" s="586"/>
    </row>
    <row r="21" spans="2:11" ht="20.100000000000001" customHeight="1" x14ac:dyDescent="0.3">
      <c r="B21" s="146"/>
      <c r="C21" s="73"/>
      <c r="D21" s="107"/>
      <c r="E21" s="74"/>
      <c r="F21" s="74"/>
      <c r="G21" s="103"/>
      <c r="H21" s="74"/>
      <c r="I21" s="74"/>
      <c r="J21" s="74"/>
      <c r="K21" s="166"/>
    </row>
    <row r="22" spans="2:11" ht="20.100000000000001" customHeight="1" x14ac:dyDescent="0.3">
      <c r="B22" s="193"/>
      <c r="C22" s="194"/>
      <c r="D22" s="107"/>
      <c r="E22" s="74"/>
      <c r="F22" s="74"/>
      <c r="G22" s="103"/>
      <c r="H22" s="74"/>
      <c r="I22" s="74"/>
      <c r="J22" s="107"/>
      <c r="K22" s="166"/>
    </row>
    <row r="23" spans="2:11" ht="20.100000000000001" customHeight="1" x14ac:dyDescent="0.3">
      <c r="B23" s="146"/>
      <c r="C23" s="107"/>
      <c r="D23" s="107"/>
      <c r="E23" s="74"/>
      <c r="F23" s="74"/>
      <c r="G23" s="103"/>
      <c r="H23" s="74"/>
      <c r="I23" s="74"/>
      <c r="J23" s="107"/>
      <c r="K23" s="166"/>
    </row>
    <row r="24" spans="2:11" ht="20.100000000000001" customHeight="1" thickBot="1" x14ac:dyDescent="0.35">
      <c r="B24" s="167"/>
      <c r="C24" s="168"/>
      <c r="D24" s="168"/>
      <c r="E24" s="195"/>
      <c r="F24" s="195"/>
      <c r="G24" s="169"/>
      <c r="H24" s="195"/>
      <c r="I24" s="195"/>
      <c r="J24" s="168"/>
      <c r="K24" s="172"/>
    </row>
  </sheetData>
  <sheetProtection formatCells="0" formatColumns="0" formatRows="0" insertColumns="0" insertRows="0" insertHyperlinks="0" deleteColumns="0" deleteRows="0" selectLockedCells="1" sort="0" autoFilter="0" pivotTables="0"/>
  <mergeCells count="52">
    <mergeCell ref="B1:K1"/>
    <mergeCell ref="B3:D4"/>
    <mergeCell ref="E3:H4"/>
    <mergeCell ref="I3:K4"/>
    <mergeCell ref="C5:D5"/>
    <mergeCell ref="E5:H5"/>
    <mergeCell ref="I5:K5"/>
    <mergeCell ref="B8:C8"/>
    <mergeCell ref="F8:G8"/>
    <mergeCell ref="J8:K9"/>
    <mergeCell ref="B9:C9"/>
    <mergeCell ref="F9:G9"/>
    <mergeCell ref="H6:I6"/>
    <mergeCell ref="J6:K6"/>
    <mergeCell ref="B7:E7"/>
    <mergeCell ref="F7:G7"/>
    <mergeCell ref="J7:K7"/>
    <mergeCell ref="B10:G10"/>
    <mergeCell ref="H10:I10"/>
    <mergeCell ref="J10:K10"/>
    <mergeCell ref="B11:G11"/>
    <mergeCell ref="H11:I11"/>
    <mergeCell ref="J11:K11"/>
    <mergeCell ref="B12:G12"/>
    <mergeCell ref="H12:I12"/>
    <mergeCell ref="J12:K12"/>
    <mergeCell ref="B14:D14"/>
    <mergeCell ref="E14:F14"/>
    <mergeCell ref="G14:H14"/>
    <mergeCell ref="I14:K14"/>
    <mergeCell ref="C15:D15"/>
    <mergeCell ref="E15:F15"/>
    <mergeCell ref="G15:H15"/>
    <mergeCell ref="I15:K15"/>
    <mergeCell ref="C16:D16"/>
    <mergeCell ref="E16:F16"/>
    <mergeCell ref="G16:H16"/>
    <mergeCell ref="I16:K16"/>
    <mergeCell ref="C17:D17"/>
    <mergeCell ref="E17:F17"/>
    <mergeCell ref="G17:H17"/>
    <mergeCell ref="I17:K17"/>
    <mergeCell ref="C18:D18"/>
    <mergeCell ref="E18:F18"/>
    <mergeCell ref="G18:H18"/>
    <mergeCell ref="I18:K18"/>
    <mergeCell ref="C19:D19"/>
    <mergeCell ref="E19:H19"/>
    <mergeCell ref="I19:K19"/>
    <mergeCell ref="C20:D20"/>
    <mergeCell ref="E20:H20"/>
    <mergeCell ref="I20:K20"/>
  </mergeCells>
  <phoneticPr fontId="1" type="noConversion"/>
  <dataValidations count="5">
    <dataValidation type="list" allowBlank="1" showInputMessage="1" showErrorMessage="1" sqref="C5:D5" xr:uid="{C6FB948D-12A2-4528-B570-BED2424350AF}">
      <formula1>"저압계통연계,특고압계통연계"</formula1>
    </dataValidation>
    <dataValidation type="list" allowBlank="1" showInputMessage="1" showErrorMessage="1" sqref="WKQ5 WAU5 VQY5 VHC5 UXG5 UNK5 UDO5 TTS5 TJW5 TAA5 SQE5 SGI5 RWM5 RMQ5 RCU5 QSY5 QJC5 PZG5 PPK5 PFO5 OVS5 OLW5 OCA5 NSE5 NII5 MYM5 MOQ5 MEU5 LUY5 LLC5 LBG5 KRK5 KHO5 JXS5 JNW5 JEA5 IUE5 IKI5 IAM5 HQQ5 HGU5 GWY5 GNC5 GDG5 FTK5 FJO5 EZS5 EPW5 EGA5 DWE5 DMI5 DCM5 CSQ5 CIU5 BYY5 BPC5 BFG5 AVK5 ALO5 ABS5 RW5 IA5 WUM5" xr:uid="{A6745436-8684-47F1-A1D1-3EE0728C63ED}">
      <formula1>IA17:IA19</formula1>
    </dataValidation>
    <dataValidation type="list" allowBlank="1" showInputMessage="1" showErrorMessage="1" sqref="B5" xr:uid="{EC9A7D05-6866-4A7E-9E7A-6A038E1BDEA8}">
      <formula1>"신 규,증 설"</formula1>
    </dataValidation>
    <dataValidation type="list" allowBlank="1" showInputMessage="1" showErrorMessage="1" sqref="WUN982872:WUP982872 IB3:ID4 RX3:RZ4 ABT3:ABV4 ALP3:ALR4 AVL3:AVN4 BFH3:BFJ4 BPD3:BPF4 BYZ3:BZB4 CIV3:CIX4 CSR3:CST4 DCN3:DCP4 DMJ3:DML4 DWF3:DWH4 EGB3:EGD4 EPX3:EPZ4 EZT3:EZV4 FJP3:FJR4 FTL3:FTN4 GDH3:GDJ4 GND3:GNF4 GWZ3:GXB4 HGV3:HGX4 HQR3:HQT4 IAN3:IAP4 IKJ3:IKL4 IUF3:IUH4 JEB3:JED4 JNX3:JNZ4 JXT3:JXV4 KHP3:KHR4 KRL3:KRN4 LBH3:LBJ4 LLD3:LLF4 LUZ3:LVB4 MEV3:MEX4 MOR3:MOT4 MYN3:MYP4 NIJ3:NIL4 NSF3:NSH4 OCB3:OCD4 OLX3:OLZ4 OVT3:OVV4 PFP3:PFR4 PPL3:PPN4 PZH3:PZJ4 QJD3:QJF4 QSZ3:QTB4 RCV3:RCX4 RMR3:RMT4 RWN3:RWP4 SGJ3:SGL4 SQF3:SQH4 TAB3:TAD4 TJX3:TJZ4 TTT3:TTV4 UDP3:UDR4 UNL3:UNN4 UXH3:UXJ4 VHD3:VHF4 VQZ3:VRB4 WAV3:WAX4 WKR3:WKT4 WUN3:WUP4 C65368:E65368 IB65368:ID65368 RX65368:RZ65368 ABT65368:ABV65368 ALP65368:ALR65368 AVL65368:AVN65368 BFH65368:BFJ65368 BPD65368:BPF65368 BYZ65368:BZB65368 CIV65368:CIX65368 CSR65368:CST65368 DCN65368:DCP65368 DMJ65368:DML65368 DWF65368:DWH65368 EGB65368:EGD65368 EPX65368:EPZ65368 EZT65368:EZV65368 FJP65368:FJR65368 FTL65368:FTN65368 GDH65368:GDJ65368 GND65368:GNF65368 GWZ65368:GXB65368 HGV65368:HGX65368 HQR65368:HQT65368 IAN65368:IAP65368 IKJ65368:IKL65368 IUF65368:IUH65368 JEB65368:JED65368 JNX65368:JNZ65368 JXT65368:JXV65368 KHP65368:KHR65368 KRL65368:KRN65368 LBH65368:LBJ65368 LLD65368:LLF65368 LUZ65368:LVB65368 MEV65368:MEX65368 MOR65368:MOT65368 MYN65368:MYP65368 NIJ65368:NIL65368 NSF65368:NSH65368 OCB65368:OCD65368 OLX65368:OLZ65368 OVT65368:OVV65368 PFP65368:PFR65368 PPL65368:PPN65368 PZH65368:PZJ65368 QJD65368:QJF65368 QSZ65368:QTB65368 RCV65368:RCX65368 RMR65368:RMT65368 RWN65368:RWP65368 SGJ65368:SGL65368 SQF65368:SQH65368 TAB65368:TAD65368 TJX65368:TJZ65368 TTT65368:TTV65368 UDP65368:UDR65368 UNL65368:UNN65368 UXH65368:UXJ65368 VHD65368:VHF65368 VQZ65368:VRB65368 WAV65368:WAX65368 WKR65368:WKT65368 WUN65368:WUP65368 C130904:E130904 IB130904:ID130904 RX130904:RZ130904 ABT130904:ABV130904 ALP130904:ALR130904 AVL130904:AVN130904 BFH130904:BFJ130904 BPD130904:BPF130904 BYZ130904:BZB130904 CIV130904:CIX130904 CSR130904:CST130904 DCN130904:DCP130904 DMJ130904:DML130904 DWF130904:DWH130904 EGB130904:EGD130904 EPX130904:EPZ130904 EZT130904:EZV130904 FJP130904:FJR130904 FTL130904:FTN130904 GDH130904:GDJ130904 GND130904:GNF130904 GWZ130904:GXB130904 HGV130904:HGX130904 HQR130904:HQT130904 IAN130904:IAP130904 IKJ130904:IKL130904 IUF130904:IUH130904 JEB130904:JED130904 JNX130904:JNZ130904 JXT130904:JXV130904 KHP130904:KHR130904 KRL130904:KRN130904 LBH130904:LBJ130904 LLD130904:LLF130904 LUZ130904:LVB130904 MEV130904:MEX130904 MOR130904:MOT130904 MYN130904:MYP130904 NIJ130904:NIL130904 NSF130904:NSH130904 OCB130904:OCD130904 OLX130904:OLZ130904 OVT130904:OVV130904 PFP130904:PFR130904 PPL130904:PPN130904 PZH130904:PZJ130904 QJD130904:QJF130904 QSZ130904:QTB130904 RCV130904:RCX130904 RMR130904:RMT130904 RWN130904:RWP130904 SGJ130904:SGL130904 SQF130904:SQH130904 TAB130904:TAD130904 TJX130904:TJZ130904 TTT130904:TTV130904 UDP130904:UDR130904 UNL130904:UNN130904 UXH130904:UXJ130904 VHD130904:VHF130904 VQZ130904:VRB130904 WAV130904:WAX130904 WKR130904:WKT130904 WUN130904:WUP130904 C196440:E196440 IB196440:ID196440 RX196440:RZ196440 ABT196440:ABV196440 ALP196440:ALR196440 AVL196440:AVN196440 BFH196440:BFJ196440 BPD196440:BPF196440 BYZ196440:BZB196440 CIV196440:CIX196440 CSR196440:CST196440 DCN196440:DCP196440 DMJ196440:DML196440 DWF196440:DWH196440 EGB196440:EGD196440 EPX196440:EPZ196440 EZT196440:EZV196440 FJP196440:FJR196440 FTL196440:FTN196440 GDH196440:GDJ196440 GND196440:GNF196440 GWZ196440:GXB196440 HGV196440:HGX196440 HQR196440:HQT196440 IAN196440:IAP196440 IKJ196440:IKL196440 IUF196440:IUH196440 JEB196440:JED196440 JNX196440:JNZ196440 JXT196440:JXV196440 KHP196440:KHR196440 KRL196440:KRN196440 LBH196440:LBJ196440 LLD196440:LLF196440 LUZ196440:LVB196440 MEV196440:MEX196440 MOR196440:MOT196440 MYN196440:MYP196440 NIJ196440:NIL196440 NSF196440:NSH196440 OCB196440:OCD196440 OLX196440:OLZ196440 OVT196440:OVV196440 PFP196440:PFR196440 PPL196440:PPN196440 PZH196440:PZJ196440 QJD196440:QJF196440 QSZ196440:QTB196440 RCV196440:RCX196440 RMR196440:RMT196440 RWN196440:RWP196440 SGJ196440:SGL196440 SQF196440:SQH196440 TAB196440:TAD196440 TJX196440:TJZ196440 TTT196440:TTV196440 UDP196440:UDR196440 UNL196440:UNN196440 UXH196440:UXJ196440 VHD196440:VHF196440 VQZ196440:VRB196440 WAV196440:WAX196440 WKR196440:WKT196440 WUN196440:WUP196440 C261976:E261976 IB261976:ID261976 RX261976:RZ261976 ABT261976:ABV261976 ALP261976:ALR261976 AVL261976:AVN261976 BFH261976:BFJ261976 BPD261976:BPF261976 BYZ261976:BZB261976 CIV261976:CIX261976 CSR261976:CST261976 DCN261976:DCP261976 DMJ261976:DML261976 DWF261976:DWH261976 EGB261976:EGD261976 EPX261976:EPZ261976 EZT261976:EZV261976 FJP261976:FJR261976 FTL261976:FTN261976 GDH261976:GDJ261976 GND261976:GNF261976 GWZ261976:GXB261976 HGV261976:HGX261976 HQR261976:HQT261976 IAN261976:IAP261976 IKJ261976:IKL261976 IUF261976:IUH261976 JEB261976:JED261976 JNX261976:JNZ261976 JXT261976:JXV261976 KHP261976:KHR261976 KRL261976:KRN261976 LBH261976:LBJ261976 LLD261976:LLF261976 LUZ261976:LVB261976 MEV261976:MEX261976 MOR261976:MOT261976 MYN261976:MYP261976 NIJ261976:NIL261976 NSF261976:NSH261976 OCB261976:OCD261976 OLX261976:OLZ261976 OVT261976:OVV261976 PFP261976:PFR261976 PPL261976:PPN261976 PZH261976:PZJ261976 QJD261976:QJF261976 QSZ261976:QTB261976 RCV261976:RCX261976 RMR261976:RMT261976 RWN261976:RWP261976 SGJ261976:SGL261976 SQF261976:SQH261976 TAB261976:TAD261976 TJX261976:TJZ261976 TTT261976:TTV261976 UDP261976:UDR261976 UNL261976:UNN261976 UXH261976:UXJ261976 VHD261976:VHF261976 VQZ261976:VRB261976 WAV261976:WAX261976 WKR261976:WKT261976 WUN261976:WUP261976 C327512:E327512 IB327512:ID327512 RX327512:RZ327512 ABT327512:ABV327512 ALP327512:ALR327512 AVL327512:AVN327512 BFH327512:BFJ327512 BPD327512:BPF327512 BYZ327512:BZB327512 CIV327512:CIX327512 CSR327512:CST327512 DCN327512:DCP327512 DMJ327512:DML327512 DWF327512:DWH327512 EGB327512:EGD327512 EPX327512:EPZ327512 EZT327512:EZV327512 FJP327512:FJR327512 FTL327512:FTN327512 GDH327512:GDJ327512 GND327512:GNF327512 GWZ327512:GXB327512 HGV327512:HGX327512 HQR327512:HQT327512 IAN327512:IAP327512 IKJ327512:IKL327512 IUF327512:IUH327512 JEB327512:JED327512 JNX327512:JNZ327512 JXT327512:JXV327512 KHP327512:KHR327512 KRL327512:KRN327512 LBH327512:LBJ327512 LLD327512:LLF327512 LUZ327512:LVB327512 MEV327512:MEX327512 MOR327512:MOT327512 MYN327512:MYP327512 NIJ327512:NIL327512 NSF327512:NSH327512 OCB327512:OCD327512 OLX327512:OLZ327512 OVT327512:OVV327512 PFP327512:PFR327512 PPL327512:PPN327512 PZH327512:PZJ327512 QJD327512:QJF327512 QSZ327512:QTB327512 RCV327512:RCX327512 RMR327512:RMT327512 RWN327512:RWP327512 SGJ327512:SGL327512 SQF327512:SQH327512 TAB327512:TAD327512 TJX327512:TJZ327512 TTT327512:TTV327512 UDP327512:UDR327512 UNL327512:UNN327512 UXH327512:UXJ327512 VHD327512:VHF327512 VQZ327512:VRB327512 WAV327512:WAX327512 WKR327512:WKT327512 WUN327512:WUP327512 C393048:E393048 IB393048:ID393048 RX393048:RZ393048 ABT393048:ABV393048 ALP393048:ALR393048 AVL393048:AVN393048 BFH393048:BFJ393048 BPD393048:BPF393048 BYZ393048:BZB393048 CIV393048:CIX393048 CSR393048:CST393048 DCN393048:DCP393048 DMJ393048:DML393048 DWF393048:DWH393048 EGB393048:EGD393048 EPX393048:EPZ393048 EZT393048:EZV393048 FJP393048:FJR393048 FTL393048:FTN393048 GDH393048:GDJ393048 GND393048:GNF393048 GWZ393048:GXB393048 HGV393048:HGX393048 HQR393048:HQT393048 IAN393048:IAP393048 IKJ393048:IKL393048 IUF393048:IUH393048 JEB393048:JED393048 JNX393048:JNZ393048 JXT393048:JXV393048 KHP393048:KHR393048 KRL393048:KRN393048 LBH393048:LBJ393048 LLD393048:LLF393048 LUZ393048:LVB393048 MEV393048:MEX393048 MOR393048:MOT393048 MYN393048:MYP393048 NIJ393048:NIL393048 NSF393048:NSH393048 OCB393048:OCD393048 OLX393048:OLZ393048 OVT393048:OVV393048 PFP393048:PFR393048 PPL393048:PPN393048 PZH393048:PZJ393048 QJD393048:QJF393048 QSZ393048:QTB393048 RCV393048:RCX393048 RMR393048:RMT393048 RWN393048:RWP393048 SGJ393048:SGL393048 SQF393048:SQH393048 TAB393048:TAD393048 TJX393048:TJZ393048 TTT393048:TTV393048 UDP393048:UDR393048 UNL393048:UNN393048 UXH393048:UXJ393048 VHD393048:VHF393048 VQZ393048:VRB393048 WAV393048:WAX393048 WKR393048:WKT393048 WUN393048:WUP393048 C458584:E458584 IB458584:ID458584 RX458584:RZ458584 ABT458584:ABV458584 ALP458584:ALR458584 AVL458584:AVN458584 BFH458584:BFJ458584 BPD458584:BPF458584 BYZ458584:BZB458584 CIV458584:CIX458584 CSR458584:CST458584 DCN458584:DCP458584 DMJ458584:DML458584 DWF458584:DWH458584 EGB458584:EGD458584 EPX458584:EPZ458584 EZT458584:EZV458584 FJP458584:FJR458584 FTL458584:FTN458584 GDH458584:GDJ458584 GND458584:GNF458584 GWZ458584:GXB458584 HGV458584:HGX458584 HQR458584:HQT458584 IAN458584:IAP458584 IKJ458584:IKL458584 IUF458584:IUH458584 JEB458584:JED458584 JNX458584:JNZ458584 JXT458584:JXV458584 KHP458584:KHR458584 KRL458584:KRN458584 LBH458584:LBJ458584 LLD458584:LLF458584 LUZ458584:LVB458584 MEV458584:MEX458584 MOR458584:MOT458584 MYN458584:MYP458584 NIJ458584:NIL458584 NSF458584:NSH458584 OCB458584:OCD458584 OLX458584:OLZ458584 OVT458584:OVV458584 PFP458584:PFR458584 PPL458584:PPN458584 PZH458584:PZJ458584 QJD458584:QJF458584 QSZ458584:QTB458584 RCV458584:RCX458584 RMR458584:RMT458584 RWN458584:RWP458584 SGJ458584:SGL458584 SQF458584:SQH458584 TAB458584:TAD458584 TJX458584:TJZ458584 TTT458584:TTV458584 UDP458584:UDR458584 UNL458584:UNN458584 UXH458584:UXJ458584 VHD458584:VHF458584 VQZ458584:VRB458584 WAV458584:WAX458584 WKR458584:WKT458584 WUN458584:WUP458584 C524120:E524120 IB524120:ID524120 RX524120:RZ524120 ABT524120:ABV524120 ALP524120:ALR524120 AVL524120:AVN524120 BFH524120:BFJ524120 BPD524120:BPF524120 BYZ524120:BZB524120 CIV524120:CIX524120 CSR524120:CST524120 DCN524120:DCP524120 DMJ524120:DML524120 DWF524120:DWH524120 EGB524120:EGD524120 EPX524120:EPZ524120 EZT524120:EZV524120 FJP524120:FJR524120 FTL524120:FTN524120 GDH524120:GDJ524120 GND524120:GNF524120 GWZ524120:GXB524120 HGV524120:HGX524120 HQR524120:HQT524120 IAN524120:IAP524120 IKJ524120:IKL524120 IUF524120:IUH524120 JEB524120:JED524120 JNX524120:JNZ524120 JXT524120:JXV524120 KHP524120:KHR524120 KRL524120:KRN524120 LBH524120:LBJ524120 LLD524120:LLF524120 LUZ524120:LVB524120 MEV524120:MEX524120 MOR524120:MOT524120 MYN524120:MYP524120 NIJ524120:NIL524120 NSF524120:NSH524120 OCB524120:OCD524120 OLX524120:OLZ524120 OVT524120:OVV524120 PFP524120:PFR524120 PPL524120:PPN524120 PZH524120:PZJ524120 QJD524120:QJF524120 QSZ524120:QTB524120 RCV524120:RCX524120 RMR524120:RMT524120 RWN524120:RWP524120 SGJ524120:SGL524120 SQF524120:SQH524120 TAB524120:TAD524120 TJX524120:TJZ524120 TTT524120:TTV524120 UDP524120:UDR524120 UNL524120:UNN524120 UXH524120:UXJ524120 VHD524120:VHF524120 VQZ524120:VRB524120 WAV524120:WAX524120 WKR524120:WKT524120 WUN524120:WUP524120 C589656:E589656 IB589656:ID589656 RX589656:RZ589656 ABT589656:ABV589656 ALP589656:ALR589656 AVL589656:AVN589656 BFH589656:BFJ589656 BPD589656:BPF589656 BYZ589656:BZB589656 CIV589656:CIX589656 CSR589656:CST589656 DCN589656:DCP589656 DMJ589656:DML589656 DWF589656:DWH589656 EGB589656:EGD589656 EPX589656:EPZ589656 EZT589656:EZV589656 FJP589656:FJR589656 FTL589656:FTN589656 GDH589656:GDJ589656 GND589656:GNF589656 GWZ589656:GXB589656 HGV589656:HGX589656 HQR589656:HQT589656 IAN589656:IAP589656 IKJ589656:IKL589656 IUF589656:IUH589656 JEB589656:JED589656 JNX589656:JNZ589656 JXT589656:JXV589656 KHP589656:KHR589656 KRL589656:KRN589656 LBH589656:LBJ589656 LLD589656:LLF589656 LUZ589656:LVB589656 MEV589656:MEX589656 MOR589656:MOT589656 MYN589656:MYP589656 NIJ589656:NIL589656 NSF589656:NSH589656 OCB589656:OCD589656 OLX589656:OLZ589656 OVT589656:OVV589656 PFP589656:PFR589656 PPL589656:PPN589656 PZH589656:PZJ589656 QJD589656:QJF589656 QSZ589656:QTB589656 RCV589656:RCX589656 RMR589656:RMT589656 RWN589656:RWP589656 SGJ589656:SGL589656 SQF589656:SQH589656 TAB589656:TAD589656 TJX589656:TJZ589656 TTT589656:TTV589656 UDP589656:UDR589656 UNL589656:UNN589656 UXH589656:UXJ589656 VHD589656:VHF589656 VQZ589656:VRB589656 WAV589656:WAX589656 WKR589656:WKT589656 WUN589656:WUP589656 C655192:E655192 IB655192:ID655192 RX655192:RZ655192 ABT655192:ABV655192 ALP655192:ALR655192 AVL655192:AVN655192 BFH655192:BFJ655192 BPD655192:BPF655192 BYZ655192:BZB655192 CIV655192:CIX655192 CSR655192:CST655192 DCN655192:DCP655192 DMJ655192:DML655192 DWF655192:DWH655192 EGB655192:EGD655192 EPX655192:EPZ655192 EZT655192:EZV655192 FJP655192:FJR655192 FTL655192:FTN655192 GDH655192:GDJ655192 GND655192:GNF655192 GWZ655192:GXB655192 HGV655192:HGX655192 HQR655192:HQT655192 IAN655192:IAP655192 IKJ655192:IKL655192 IUF655192:IUH655192 JEB655192:JED655192 JNX655192:JNZ655192 JXT655192:JXV655192 KHP655192:KHR655192 KRL655192:KRN655192 LBH655192:LBJ655192 LLD655192:LLF655192 LUZ655192:LVB655192 MEV655192:MEX655192 MOR655192:MOT655192 MYN655192:MYP655192 NIJ655192:NIL655192 NSF655192:NSH655192 OCB655192:OCD655192 OLX655192:OLZ655192 OVT655192:OVV655192 PFP655192:PFR655192 PPL655192:PPN655192 PZH655192:PZJ655192 QJD655192:QJF655192 QSZ655192:QTB655192 RCV655192:RCX655192 RMR655192:RMT655192 RWN655192:RWP655192 SGJ655192:SGL655192 SQF655192:SQH655192 TAB655192:TAD655192 TJX655192:TJZ655192 TTT655192:TTV655192 UDP655192:UDR655192 UNL655192:UNN655192 UXH655192:UXJ655192 VHD655192:VHF655192 VQZ655192:VRB655192 WAV655192:WAX655192 WKR655192:WKT655192 WUN655192:WUP655192 C720728:E720728 IB720728:ID720728 RX720728:RZ720728 ABT720728:ABV720728 ALP720728:ALR720728 AVL720728:AVN720728 BFH720728:BFJ720728 BPD720728:BPF720728 BYZ720728:BZB720728 CIV720728:CIX720728 CSR720728:CST720728 DCN720728:DCP720728 DMJ720728:DML720728 DWF720728:DWH720728 EGB720728:EGD720728 EPX720728:EPZ720728 EZT720728:EZV720728 FJP720728:FJR720728 FTL720728:FTN720728 GDH720728:GDJ720728 GND720728:GNF720728 GWZ720728:GXB720728 HGV720728:HGX720728 HQR720728:HQT720728 IAN720728:IAP720728 IKJ720728:IKL720728 IUF720728:IUH720728 JEB720728:JED720728 JNX720728:JNZ720728 JXT720728:JXV720728 KHP720728:KHR720728 KRL720728:KRN720728 LBH720728:LBJ720728 LLD720728:LLF720728 LUZ720728:LVB720728 MEV720728:MEX720728 MOR720728:MOT720728 MYN720728:MYP720728 NIJ720728:NIL720728 NSF720728:NSH720728 OCB720728:OCD720728 OLX720728:OLZ720728 OVT720728:OVV720728 PFP720728:PFR720728 PPL720728:PPN720728 PZH720728:PZJ720728 QJD720728:QJF720728 QSZ720728:QTB720728 RCV720728:RCX720728 RMR720728:RMT720728 RWN720728:RWP720728 SGJ720728:SGL720728 SQF720728:SQH720728 TAB720728:TAD720728 TJX720728:TJZ720728 TTT720728:TTV720728 UDP720728:UDR720728 UNL720728:UNN720728 UXH720728:UXJ720728 VHD720728:VHF720728 VQZ720728:VRB720728 WAV720728:WAX720728 WKR720728:WKT720728 WUN720728:WUP720728 C786264:E786264 IB786264:ID786264 RX786264:RZ786264 ABT786264:ABV786264 ALP786264:ALR786264 AVL786264:AVN786264 BFH786264:BFJ786264 BPD786264:BPF786264 BYZ786264:BZB786264 CIV786264:CIX786264 CSR786264:CST786264 DCN786264:DCP786264 DMJ786264:DML786264 DWF786264:DWH786264 EGB786264:EGD786264 EPX786264:EPZ786264 EZT786264:EZV786264 FJP786264:FJR786264 FTL786264:FTN786264 GDH786264:GDJ786264 GND786264:GNF786264 GWZ786264:GXB786264 HGV786264:HGX786264 HQR786264:HQT786264 IAN786264:IAP786264 IKJ786264:IKL786264 IUF786264:IUH786264 JEB786264:JED786264 JNX786264:JNZ786264 JXT786264:JXV786264 KHP786264:KHR786264 KRL786264:KRN786264 LBH786264:LBJ786264 LLD786264:LLF786264 LUZ786264:LVB786264 MEV786264:MEX786264 MOR786264:MOT786264 MYN786264:MYP786264 NIJ786264:NIL786264 NSF786264:NSH786264 OCB786264:OCD786264 OLX786264:OLZ786264 OVT786264:OVV786264 PFP786264:PFR786264 PPL786264:PPN786264 PZH786264:PZJ786264 QJD786264:QJF786264 QSZ786264:QTB786264 RCV786264:RCX786264 RMR786264:RMT786264 RWN786264:RWP786264 SGJ786264:SGL786264 SQF786264:SQH786264 TAB786264:TAD786264 TJX786264:TJZ786264 TTT786264:TTV786264 UDP786264:UDR786264 UNL786264:UNN786264 UXH786264:UXJ786264 VHD786264:VHF786264 VQZ786264:VRB786264 WAV786264:WAX786264 WKR786264:WKT786264 WUN786264:WUP786264 C851800:E851800 IB851800:ID851800 RX851800:RZ851800 ABT851800:ABV851800 ALP851800:ALR851800 AVL851800:AVN851800 BFH851800:BFJ851800 BPD851800:BPF851800 BYZ851800:BZB851800 CIV851800:CIX851800 CSR851800:CST851800 DCN851800:DCP851800 DMJ851800:DML851800 DWF851800:DWH851800 EGB851800:EGD851800 EPX851800:EPZ851800 EZT851800:EZV851800 FJP851800:FJR851800 FTL851800:FTN851800 GDH851800:GDJ851800 GND851800:GNF851800 GWZ851800:GXB851800 HGV851800:HGX851800 HQR851800:HQT851800 IAN851800:IAP851800 IKJ851800:IKL851800 IUF851800:IUH851800 JEB851800:JED851800 JNX851800:JNZ851800 JXT851800:JXV851800 KHP851800:KHR851800 KRL851800:KRN851800 LBH851800:LBJ851800 LLD851800:LLF851800 LUZ851800:LVB851800 MEV851800:MEX851800 MOR851800:MOT851800 MYN851800:MYP851800 NIJ851800:NIL851800 NSF851800:NSH851800 OCB851800:OCD851800 OLX851800:OLZ851800 OVT851800:OVV851800 PFP851800:PFR851800 PPL851800:PPN851800 PZH851800:PZJ851800 QJD851800:QJF851800 QSZ851800:QTB851800 RCV851800:RCX851800 RMR851800:RMT851800 RWN851800:RWP851800 SGJ851800:SGL851800 SQF851800:SQH851800 TAB851800:TAD851800 TJX851800:TJZ851800 TTT851800:TTV851800 UDP851800:UDR851800 UNL851800:UNN851800 UXH851800:UXJ851800 VHD851800:VHF851800 VQZ851800:VRB851800 WAV851800:WAX851800 WKR851800:WKT851800 WUN851800:WUP851800 C917336:E917336 IB917336:ID917336 RX917336:RZ917336 ABT917336:ABV917336 ALP917336:ALR917336 AVL917336:AVN917336 BFH917336:BFJ917336 BPD917336:BPF917336 BYZ917336:BZB917336 CIV917336:CIX917336 CSR917336:CST917336 DCN917336:DCP917336 DMJ917336:DML917336 DWF917336:DWH917336 EGB917336:EGD917336 EPX917336:EPZ917336 EZT917336:EZV917336 FJP917336:FJR917336 FTL917336:FTN917336 GDH917336:GDJ917336 GND917336:GNF917336 GWZ917336:GXB917336 HGV917336:HGX917336 HQR917336:HQT917336 IAN917336:IAP917336 IKJ917336:IKL917336 IUF917336:IUH917336 JEB917336:JED917336 JNX917336:JNZ917336 JXT917336:JXV917336 KHP917336:KHR917336 KRL917336:KRN917336 LBH917336:LBJ917336 LLD917336:LLF917336 LUZ917336:LVB917336 MEV917336:MEX917336 MOR917336:MOT917336 MYN917336:MYP917336 NIJ917336:NIL917336 NSF917336:NSH917336 OCB917336:OCD917336 OLX917336:OLZ917336 OVT917336:OVV917336 PFP917336:PFR917336 PPL917336:PPN917336 PZH917336:PZJ917336 QJD917336:QJF917336 QSZ917336:QTB917336 RCV917336:RCX917336 RMR917336:RMT917336 RWN917336:RWP917336 SGJ917336:SGL917336 SQF917336:SQH917336 TAB917336:TAD917336 TJX917336:TJZ917336 TTT917336:TTV917336 UDP917336:UDR917336 UNL917336:UNN917336 UXH917336:UXJ917336 VHD917336:VHF917336 VQZ917336:VRB917336 WAV917336:WAX917336 WKR917336:WKT917336 WUN917336:WUP917336 C982872:E982872 IB982872:ID982872 RX982872:RZ982872 ABT982872:ABV982872 ALP982872:ALR982872 AVL982872:AVN982872 BFH982872:BFJ982872 BPD982872:BPF982872 BYZ982872:BZB982872 CIV982872:CIX982872 CSR982872:CST982872 DCN982872:DCP982872 DMJ982872:DML982872 DWF982872:DWH982872 EGB982872:EGD982872 EPX982872:EPZ982872 EZT982872:EZV982872 FJP982872:FJR982872 FTL982872:FTN982872 GDH982872:GDJ982872 GND982872:GNF982872 GWZ982872:GXB982872 HGV982872:HGX982872 HQR982872:HQT982872 IAN982872:IAP982872 IKJ982872:IKL982872 IUF982872:IUH982872 JEB982872:JED982872 JNX982872:JNZ982872 JXT982872:JXV982872 KHP982872:KHR982872 KRL982872:KRN982872 LBH982872:LBJ982872 LLD982872:LLF982872 LUZ982872:LVB982872 MEV982872:MEX982872 MOR982872:MOT982872 MYN982872:MYP982872 NIJ982872:NIL982872 NSF982872:NSH982872 OCB982872:OCD982872 OLX982872:OLZ982872 OVT982872:OVV982872 PFP982872:PFR982872 PPL982872:PPN982872 PZH982872:PZJ982872 QJD982872:QJF982872 QSZ982872:QTB982872 RCV982872:RCX982872 RMR982872:RMT982872 RWN982872:RWP982872 SGJ982872:SGL982872 SQF982872:SQH982872 TAB982872:TAD982872 TJX982872:TJZ982872 TTT982872:TTV982872 UDP982872:UDR982872 UNL982872:UNN982872 UXH982872:UXJ982872 VHD982872:VHF982872 VQZ982872:VRB982872 WAV982872:WAX982872 WKR982872:WKT982872" xr:uid="{F8DD7D71-11A3-44D8-B0C6-93E094E4D456}">
      <formula1>#REF!</formula1>
    </dataValidation>
    <dataValidation type="list" allowBlank="1" showInputMessage="1" showErrorMessage="1" sqref="WUM982873 B65369 IA65369 RW65369 ABS65369 ALO65369 AVK65369 BFG65369 BPC65369 BYY65369 CIU65369 CSQ65369 DCM65369 DMI65369 DWE65369 EGA65369 EPW65369 EZS65369 FJO65369 FTK65369 GDG65369 GNC65369 GWY65369 HGU65369 HQQ65369 IAM65369 IKI65369 IUE65369 JEA65369 JNW65369 JXS65369 KHO65369 KRK65369 LBG65369 LLC65369 LUY65369 MEU65369 MOQ65369 MYM65369 NII65369 NSE65369 OCA65369 OLW65369 OVS65369 PFO65369 PPK65369 PZG65369 QJC65369 QSY65369 RCU65369 RMQ65369 RWM65369 SGI65369 SQE65369 TAA65369 TJW65369 TTS65369 UDO65369 UNK65369 UXG65369 VHC65369 VQY65369 WAU65369 WKQ65369 WUM65369 B130905 IA130905 RW130905 ABS130905 ALO130905 AVK130905 BFG130905 BPC130905 BYY130905 CIU130905 CSQ130905 DCM130905 DMI130905 DWE130905 EGA130905 EPW130905 EZS130905 FJO130905 FTK130905 GDG130905 GNC130905 GWY130905 HGU130905 HQQ130905 IAM130905 IKI130905 IUE130905 JEA130905 JNW130905 JXS130905 KHO130905 KRK130905 LBG130905 LLC130905 LUY130905 MEU130905 MOQ130905 MYM130905 NII130905 NSE130905 OCA130905 OLW130905 OVS130905 PFO130905 PPK130905 PZG130905 QJC130905 QSY130905 RCU130905 RMQ130905 RWM130905 SGI130905 SQE130905 TAA130905 TJW130905 TTS130905 UDO130905 UNK130905 UXG130905 VHC130905 VQY130905 WAU130905 WKQ130905 WUM130905 B196441 IA196441 RW196441 ABS196441 ALO196441 AVK196441 BFG196441 BPC196441 BYY196441 CIU196441 CSQ196441 DCM196441 DMI196441 DWE196441 EGA196441 EPW196441 EZS196441 FJO196441 FTK196441 GDG196441 GNC196441 GWY196441 HGU196441 HQQ196441 IAM196441 IKI196441 IUE196441 JEA196441 JNW196441 JXS196441 KHO196441 KRK196441 LBG196441 LLC196441 LUY196441 MEU196441 MOQ196441 MYM196441 NII196441 NSE196441 OCA196441 OLW196441 OVS196441 PFO196441 PPK196441 PZG196441 QJC196441 QSY196441 RCU196441 RMQ196441 RWM196441 SGI196441 SQE196441 TAA196441 TJW196441 TTS196441 UDO196441 UNK196441 UXG196441 VHC196441 VQY196441 WAU196441 WKQ196441 WUM196441 B261977 IA261977 RW261977 ABS261977 ALO261977 AVK261977 BFG261977 BPC261977 BYY261977 CIU261977 CSQ261977 DCM261977 DMI261977 DWE261977 EGA261977 EPW261977 EZS261977 FJO261977 FTK261977 GDG261977 GNC261977 GWY261977 HGU261977 HQQ261977 IAM261977 IKI261977 IUE261977 JEA261977 JNW261977 JXS261977 KHO261977 KRK261977 LBG261977 LLC261977 LUY261977 MEU261977 MOQ261977 MYM261977 NII261977 NSE261977 OCA261977 OLW261977 OVS261977 PFO261977 PPK261977 PZG261977 QJC261977 QSY261977 RCU261977 RMQ261977 RWM261977 SGI261977 SQE261977 TAA261977 TJW261977 TTS261977 UDO261977 UNK261977 UXG261977 VHC261977 VQY261977 WAU261977 WKQ261977 WUM261977 B327513 IA327513 RW327513 ABS327513 ALO327513 AVK327513 BFG327513 BPC327513 BYY327513 CIU327513 CSQ327513 DCM327513 DMI327513 DWE327513 EGA327513 EPW327513 EZS327513 FJO327513 FTK327513 GDG327513 GNC327513 GWY327513 HGU327513 HQQ327513 IAM327513 IKI327513 IUE327513 JEA327513 JNW327513 JXS327513 KHO327513 KRK327513 LBG327513 LLC327513 LUY327513 MEU327513 MOQ327513 MYM327513 NII327513 NSE327513 OCA327513 OLW327513 OVS327513 PFO327513 PPK327513 PZG327513 QJC327513 QSY327513 RCU327513 RMQ327513 RWM327513 SGI327513 SQE327513 TAA327513 TJW327513 TTS327513 UDO327513 UNK327513 UXG327513 VHC327513 VQY327513 WAU327513 WKQ327513 WUM327513 B393049 IA393049 RW393049 ABS393049 ALO393049 AVK393049 BFG393049 BPC393049 BYY393049 CIU393049 CSQ393049 DCM393049 DMI393049 DWE393049 EGA393049 EPW393049 EZS393049 FJO393049 FTK393049 GDG393049 GNC393049 GWY393049 HGU393049 HQQ393049 IAM393049 IKI393049 IUE393049 JEA393049 JNW393049 JXS393049 KHO393049 KRK393049 LBG393049 LLC393049 LUY393049 MEU393049 MOQ393049 MYM393049 NII393049 NSE393049 OCA393049 OLW393049 OVS393049 PFO393049 PPK393049 PZG393049 QJC393049 QSY393049 RCU393049 RMQ393049 RWM393049 SGI393049 SQE393049 TAA393049 TJW393049 TTS393049 UDO393049 UNK393049 UXG393049 VHC393049 VQY393049 WAU393049 WKQ393049 WUM393049 B458585 IA458585 RW458585 ABS458585 ALO458585 AVK458585 BFG458585 BPC458585 BYY458585 CIU458585 CSQ458585 DCM458585 DMI458585 DWE458585 EGA458585 EPW458585 EZS458585 FJO458585 FTK458585 GDG458585 GNC458585 GWY458585 HGU458585 HQQ458585 IAM458585 IKI458585 IUE458585 JEA458585 JNW458585 JXS458585 KHO458585 KRK458585 LBG458585 LLC458585 LUY458585 MEU458585 MOQ458585 MYM458585 NII458585 NSE458585 OCA458585 OLW458585 OVS458585 PFO458585 PPK458585 PZG458585 QJC458585 QSY458585 RCU458585 RMQ458585 RWM458585 SGI458585 SQE458585 TAA458585 TJW458585 TTS458585 UDO458585 UNK458585 UXG458585 VHC458585 VQY458585 WAU458585 WKQ458585 WUM458585 B524121 IA524121 RW524121 ABS524121 ALO524121 AVK524121 BFG524121 BPC524121 BYY524121 CIU524121 CSQ524121 DCM524121 DMI524121 DWE524121 EGA524121 EPW524121 EZS524121 FJO524121 FTK524121 GDG524121 GNC524121 GWY524121 HGU524121 HQQ524121 IAM524121 IKI524121 IUE524121 JEA524121 JNW524121 JXS524121 KHO524121 KRK524121 LBG524121 LLC524121 LUY524121 MEU524121 MOQ524121 MYM524121 NII524121 NSE524121 OCA524121 OLW524121 OVS524121 PFO524121 PPK524121 PZG524121 QJC524121 QSY524121 RCU524121 RMQ524121 RWM524121 SGI524121 SQE524121 TAA524121 TJW524121 TTS524121 UDO524121 UNK524121 UXG524121 VHC524121 VQY524121 WAU524121 WKQ524121 WUM524121 B589657 IA589657 RW589657 ABS589657 ALO589657 AVK589657 BFG589657 BPC589657 BYY589657 CIU589657 CSQ589657 DCM589657 DMI589657 DWE589657 EGA589657 EPW589657 EZS589657 FJO589657 FTK589657 GDG589657 GNC589657 GWY589657 HGU589657 HQQ589657 IAM589657 IKI589657 IUE589657 JEA589657 JNW589657 JXS589657 KHO589657 KRK589657 LBG589657 LLC589657 LUY589657 MEU589657 MOQ589657 MYM589657 NII589657 NSE589657 OCA589657 OLW589657 OVS589657 PFO589657 PPK589657 PZG589657 QJC589657 QSY589657 RCU589657 RMQ589657 RWM589657 SGI589657 SQE589657 TAA589657 TJW589657 TTS589657 UDO589657 UNK589657 UXG589657 VHC589657 VQY589657 WAU589657 WKQ589657 WUM589657 B655193 IA655193 RW655193 ABS655193 ALO655193 AVK655193 BFG655193 BPC655193 BYY655193 CIU655193 CSQ655193 DCM655193 DMI655193 DWE655193 EGA655193 EPW655193 EZS655193 FJO655193 FTK655193 GDG655193 GNC655193 GWY655193 HGU655193 HQQ655193 IAM655193 IKI655193 IUE655193 JEA655193 JNW655193 JXS655193 KHO655193 KRK655193 LBG655193 LLC655193 LUY655193 MEU655193 MOQ655193 MYM655193 NII655193 NSE655193 OCA655193 OLW655193 OVS655193 PFO655193 PPK655193 PZG655193 QJC655193 QSY655193 RCU655193 RMQ655193 RWM655193 SGI655193 SQE655193 TAA655193 TJW655193 TTS655193 UDO655193 UNK655193 UXG655193 VHC655193 VQY655193 WAU655193 WKQ655193 WUM655193 B720729 IA720729 RW720729 ABS720729 ALO720729 AVK720729 BFG720729 BPC720729 BYY720729 CIU720729 CSQ720729 DCM720729 DMI720729 DWE720729 EGA720729 EPW720729 EZS720729 FJO720729 FTK720729 GDG720729 GNC720729 GWY720729 HGU720729 HQQ720729 IAM720729 IKI720729 IUE720729 JEA720729 JNW720729 JXS720729 KHO720729 KRK720729 LBG720729 LLC720729 LUY720729 MEU720729 MOQ720729 MYM720729 NII720729 NSE720729 OCA720729 OLW720729 OVS720729 PFO720729 PPK720729 PZG720729 QJC720729 QSY720729 RCU720729 RMQ720729 RWM720729 SGI720729 SQE720729 TAA720729 TJW720729 TTS720729 UDO720729 UNK720729 UXG720729 VHC720729 VQY720729 WAU720729 WKQ720729 WUM720729 B786265 IA786265 RW786265 ABS786265 ALO786265 AVK786265 BFG786265 BPC786265 BYY786265 CIU786265 CSQ786265 DCM786265 DMI786265 DWE786265 EGA786265 EPW786265 EZS786265 FJO786265 FTK786265 GDG786265 GNC786265 GWY786265 HGU786265 HQQ786265 IAM786265 IKI786265 IUE786265 JEA786265 JNW786265 JXS786265 KHO786265 KRK786265 LBG786265 LLC786265 LUY786265 MEU786265 MOQ786265 MYM786265 NII786265 NSE786265 OCA786265 OLW786265 OVS786265 PFO786265 PPK786265 PZG786265 QJC786265 QSY786265 RCU786265 RMQ786265 RWM786265 SGI786265 SQE786265 TAA786265 TJW786265 TTS786265 UDO786265 UNK786265 UXG786265 VHC786265 VQY786265 WAU786265 WKQ786265 WUM786265 B851801 IA851801 RW851801 ABS851801 ALO851801 AVK851801 BFG851801 BPC851801 BYY851801 CIU851801 CSQ851801 DCM851801 DMI851801 DWE851801 EGA851801 EPW851801 EZS851801 FJO851801 FTK851801 GDG851801 GNC851801 GWY851801 HGU851801 HQQ851801 IAM851801 IKI851801 IUE851801 JEA851801 JNW851801 JXS851801 KHO851801 KRK851801 LBG851801 LLC851801 LUY851801 MEU851801 MOQ851801 MYM851801 NII851801 NSE851801 OCA851801 OLW851801 OVS851801 PFO851801 PPK851801 PZG851801 QJC851801 QSY851801 RCU851801 RMQ851801 RWM851801 SGI851801 SQE851801 TAA851801 TJW851801 TTS851801 UDO851801 UNK851801 UXG851801 VHC851801 VQY851801 WAU851801 WKQ851801 WUM851801 B917337 IA917337 RW917337 ABS917337 ALO917337 AVK917337 BFG917337 BPC917337 BYY917337 CIU917337 CSQ917337 DCM917337 DMI917337 DWE917337 EGA917337 EPW917337 EZS917337 FJO917337 FTK917337 GDG917337 GNC917337 GWY917337 HGU917337 HQQ917337 IAM917337 IKI917337 IUE917337 JEA917337 JNW917337 JXS917337 KHO917337 KRK917337 LBG917337 LLC917337 LUY917337 MEU917337 MOQ917337 MYM917337 NII917337 NSE917337 OCA917337 OLW917337 OVS917337 PFO917337 PPK917337 PZG917337 QJC917337 QSY917337 RCU917337 RMQ917337 RWM917337 SGI917337 SQE917337 TAA917337 TJW917337 TTS917337 UDO917337 UNK917337 UXG917337 VHC917337 VQY917337 WAU917337 WKQ917337 WUM917337 B982873 IA982873 RW982873 ABS982873 ALO982873 AVK982873 BFG982873 BPC982873 BYY982873 CIU982873 CSQ982873 DCM982873 DMI982873 DWE982873 EGA982873 EPW982873 EZS982873 FJO982873 FTK982873 GDG982873 GNC982873 GWY982873 HGU982873 HQQ982873 IAM982873 IKI982873 IUE982873 JEA982873 JNW982873 JXS982873 KHO982873 KRK982873 LBG982873 LLC982873 LUY982873 MEU982873 MOQ982873 MYM982873 NII982873 NSE982873 OCA982873 OLW982873 OVS982873 PFO982873 PPK982873 PZG982873 QJC982873 QSY982873 RCU982873 RMQ982873 RWM982873 SGI982873 SQE982873 TAA982873 TJW982873 TTS982873 UDO982873 UNK982873 UXG982873 VHC982873 VQY982873 WAU982873 WKQ982873" xr:uid="{2243AD35-7AFF-4380-8A52-3CD33971BEF3}">
      <formula1>B65378:B65380</formula1>
    </dataValidation>
  </dataValidations>
  <printOptions horizontalCentered="1" verticalCentered="1"/>
  <pageMargins left="0.74803149606299213" right="0.35433070866141736" top="0.59055118110236227" bottom="0.43307086614173229" header="0.51181102362204722" footer="0.27559055118110237"/>
  <pageSetup paperSize="9" scale="97"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4682A3-6B1B-490D-A827-F1B6B44275B5}">
  <sheetPr>
    <tabColor rgb="FFFF0000"/>
    <pageSetUpPr fitToPage="1"/>
  </sheetPr>
  <dimension ref="A1:S16"/>
  <sheetViews>
    <sheetView showZeros="0" workbookViewId="0">
      <selection activeCell="C37" sqref="C37:D37"/>
    </sheetView>
  </sheetViews>
  <sheetFormatPr defaultRowHeight="16.5" x14ac:dyDescent="0.3"/>
  <cols>
    <col min="1" max="1" width="40.625" customWidth="1"/>
    <col min="2" max="4" width="10.625" customWidth="1"/>
    <col min="5" max="12" width="13.625" customWidth="1"/>
    <col min="13" max="13" width="12.625" customWidth="1"/>
  </cols>
  <sheetData>
    <row r="1" spans="1:19" ht="30" customHeight="1" x14ac:dyDescent="0.3">
      <c r="A1" s="3" t="s">
        <v>661</v>
      </c>
      <c r="B1" s="3"/>
      <c r="C1" s="3"/>
      <c r="D1" s="3"/>
      <c r="E1" s="3"/>
      <c r="F1" s="3"/>
      <c r="G1" s="3"/>
      <c r="H1" s="3"/>
      <c r="I1" s="3"/>
      <c r="J1" s="3"/>
      <c r="K1" s="3"/>
      <c r="L1" s="3"/>
      <c r="M1" s="3"/>
    </row>
    <row r="2" spans="1:19" ht="30" customHeight="1" x14ac:dyDescent="0.3">
      <c r="A2" s="4" t="e">
        <f>원가!#REF!</f>
        <v>#REF!</v>
      </c>
      <c r="B2" s="5"/>
      <c r="C2" s="5"/>
      <c r="D2" s="5"/>
      <c r="E2" s="5"/>
      <c r="F2" s="5"/>
      <c r="G2" s="5"/>
      <c r="H2" s="5"/>
      <c r="I2" s="5"/>
      <c r="J2" s="5"/>
      <c r="K2" s="5"/>
      <c r="L2" s="5"/>
      <c r="M2" s="6"/>
    </row>
    <row r="3" spans="1:19" ht="30" customHeight="1" x14ac:dyDescent="0.3">
      <c r="A3" s="619" t="s">
        <v>2</v>
      </c>
      <c r="B3" s="619" t="s">
        <v>662</v>
      </c>
      <c r="C3" s="619" t="s">
        <v>663</v>
      </c>
      <c r="D3" s="619"/>
      <c r="E3" s="619" t="s">
        <v>6</v>
      </c>
      <c r="F3" s="619"/>
      <c r="G3" s="619" t="s">
        <v>9</v>
      </c>
      <c r="H3" s="619"/>
      <c r="I3" s="619" t="s">
        <v>10</v>
      </c>
      <c r="J3" s="619"/>
      <c r="K3" s="619" t="s">
        <v>11</v>
      </c>
      <c r="L3" s="619"/>
      <c r="M3" s="619" t="s">
        <v>12</v>
      </c>
      <c r="P3" s="331" t="s">
        <v>664</v>
      </c>
      <c r="Q3" s="332">
        <v>1.5</v>
      </c>
      <c r="R3" s="333">
        <v>1</v>
      </c>
    </row>
    <row r="4" spans="1:19" ht="30" customHeight="1" x14ac:dyDescent="0.3">
      <c r="A4" s="620"/>
      <c r="B4" s="619"/>
      <c r="C4" s="619"/>
      <c r="D4" s="619"/>
      <c r="E4" s="334" t="s">
        <v>7</v>
      </c>
      <c r="F4" s="334" t="s">
        <v>8</v>
      </c>
      <c r="G4" s="334" t="s">
        <v>7</v>
      </c>
      <c r="H4" s="334" t="s">
        <v>8</v>
      </c>
      <c r="I4" s="334" t="s">
        <v>7</v>
      </c>
      <c r="J4" s="334" t="s">
        <v>8</v>
      </c>
      <c r="K4" s="334" t="s">
        <v>7</v>
      </c>
      <c r="L4" s="334" t="s">
        <v>8</v>
      </c>
      <c r="M4" s="620"/>
      <c r="P4" s="331" t="s">
        <v>665</v>
      </c>
      <c r="Q4" s="332">
        <v>2.5</v>
      </c>
      <c r="R4" s="333">
        <v>2</v>
      </c>
    </row>
    <row r="5" spans="1:19" ht="30" customHeight="1" x14ac:dyDescent="0.3">
      <c r="A5" s="14" t="s">
        <v>666</v>
      </c>
      <c r="B5" s="335" t="s">
        <v>667</v>
      </c>
      <c r="C5" s="621"/>
      <c r="D5" s="621"/>
      <c r="E5" s="16"/>
      <c r="F5" s="16"/>
      <c r="G5" s="16"/>
      <c r="H5" s="16"/>
      <c r="I5" s="16"/>
      <c r="J5" s="16"/>
      <c r="K5" s="336">
        <f>ROUNDDOWN((SUM(K6:K8)),3)</f>
        <v>-30558.720000000001</v>
      </c>
      <c r="L5" s="336">
        <f>ROUNDDOWN((SUM(L6:L8)),3)</f>
        <v>-30558.720000000001</v>
      </c>
      <c r="M5" s="14"/>
      <c r="P5" s="331" t="s">
        <v>668</v>
      </c>
      <c r="Q5" s="332">
        <v>4</v>
      </c>
      <c r="R5" s="333">
        <v>3</v>
      </c>
    </row>
    <row r="6" spans="1:19" ht="30" customHeight="1" x14ac:dyDescent="0.3">
      <c r="A6" s="14" t="s">
        <v>669</v>
      </c>
      <c r="B6" s="335" t="s">
        <v>670</v>
      </c>
      <c r="C6" s="622">
        <f>SUM(K10:L14)</f>
        <v>3.3216000000000001</v>
      </c>
      <c r="D6" s="621"/>
      <c r="E6" s="337">
        <v>-9200</v>
      </c>
      <c r="F6" s="337">
        <f>C6*E6</f>
        <v>-30558.720000000001</v>
      </c>
      <c r="G6" s="16"/>
      <c r="H6" s="16"/>
      <c r="I6" s="16"/>
      <c r="J6" s="16"/>
      <c r="K6" s="16">
        <f>F6</f>
        <v>-30558.720000000001</v>
      </c>
      <c r="L6" s="16">
        <f>K6</f>
        <v>-30558.720000000001</v>
      </c>
      <c r="M6" s="14"/>
      <c r="P6" s="331" t="s">
        <v>671</v>
      </c>
      <c r="Q6" s="332">
        <v>6</v>
      </c>
      <c r="R6" s="333">
        <v>4</v>
      </c>
    </row>
    <row r="7" spans="1:19" ht="30" customHeight="1" x14ac:dyDescent="0.3">
      <c r="A7" s="14"/>
      <c r="B7" s="14"/>
      <c r="C7" s="621"/>
      <c r="D7" s="621"/>
      <c r="E7" s="16"/>
      <c r="F7" s="16"/>
      <c r="G7" s="16"/>
      <c r="H7" s="16"/>
      <c r="I7" s="16"/>
      <c r="J7" s="16"/>
      <c r="K7" s="16"/>
      <c r="L7" s="16"/>
      <c r="M7" s="14"/>
      <c r="P7" s="331" t="s">
        <v>672</v>
      </c>
      <c r="Q7" s="332">
        <v>10</v>
      </c>
      <c r="R7" s="333">
        <v>5</v>
      </c>
    </row>
    <row r="8" spans="1:19" ht="30" customHeight="1" x14ac:dyDescent="0.3">
      <c r="A8" s="14"/>
      <c r="B8" s="14"/>
      <c r="C8" s="621"/>
      <c r="D8" s="621"/>
      <c r="E8" s="16"/>
      <c r="F8" s="16"/>
      <c r="G8" s="16"/>
      <c r="H8" s="16"/>
      <c r="I8" s="16"/>
      <c r="J8" s="16"/>
      <c r="K8" s="16"/>
      <c r="L8" s="16"/>
      <c r="M8" s="14"/>
      <c r="P8" s="331"/>
      <c r="Q8" s="332">
        <v>16</v>
      </c>
      <c r="R8" s="333">
        <v>6</v>
      </c>
    </row>
    <row r="9" spans="1:19" ht="30" customHeight="1" x14ac:dyDescent="0.3">
      <c r="A9" s="338" t="s">
        <v>669</v>
      </c>
      <c r="B9" s="614" t="s">
        <v>673</v>
      </c>
      <c r="C9" s="615"/>
      <c r="D9" s="616"/>
      <c r="E9" s="334" t="s">
        <v>662</v>
      </c>
      <c r="F9" s="334" t="s">
        <v>663</v>
      </c>
      <c r="G9" s="617" t="s">
        <v>674</v>
      </c>
      <c r="H9" s="618"/>
      <c r="I9" s="617" t="s">
        <v>675</v>
      </c>
      <c r="J9" s="618"/>
      <c r="K9" s="617" t="s">
        <v>676</v>
      </c>
      <c r="L9" s="618"/>
      <c r="M9" s="338"/>
      <c r="P9" s="331"/>
      <c r="Q9" s="332">
        <v>25</v>
      </c>
      <c r="R9" s="333">
        <v>7</v>
      </c>
    </row>
    <row r="10" spans="1:19" ht="30" customHeight="1" x14ac:dyDescent="0.3">
      <c r="A10" s="14" t="s">
        <v>677</v>
      </c>
      <c r="B10" s="339" t="s">
        <v>678</v>
      </c>
      <c r="C10" s="340">
        <v>4</v>
      </c>
      <c r="D10" s="341">
        <v>3</v>
      </c>
      <c r="E10" s="337" t="s">
        <v>679</v>
      </c>
      <c r="F10" s="337">
        <v>24</v>
      </c>
      <c r="G10" s="608" t="str">
        <f>IF(F10=0,0,C10&amp;" X "&amp;D10&amp;" X (8.65/1000)")</f>
        <v>4 X 3 X (8.65/1000)</v>
      </c>
      <c r="H10" s="609"/>
      <c r="I10" s="610">
        <f>IF(F10=0,0,C10*D10*(8.65/1000))</f>
        <v>0.1038</v>
      </c>
      <c r="J10" s="611"/>
      <c r="K10" s="612">
        <f>F10*I10</f>
        <v>2.4912000000000001</v>
      </c>
      <c r="L10" s="613"/>
      <c r="M10" s="14"/>
      <c r="P10" s="331"/>
      <c r="Q10" s="332">
        <v>35</v>
      </c>
      <c r="R10" s="333">
        <v>8</v>
      </c>
    </row>
    <row r="11" spans="1:19" ht="30" customHeight="1" x14ac:dyDescent="0.3">
      <c r="A11" s="14"/>
      <c r="B11" s="339" t="s">
        <v>680</v>
      </c>
      <c r="C11" s="340">
        <v>4</v>
      </c>
      <c r="D11" s="341">
        <v>1</v>
      </c>
      <c r="E11" s="337" t="s">
        <v>679</v>
      </c>
      <c r="F11" s="337">
        <v>24</v>
      </c>
      <c r="G11" s="608" t="str">
        <f t="shared" ref="G11:G14" si="0">IF(F11=0,0,C11&amp;" X "&amp;D11&amp;" X (8.65/1000)")</f>
        <v>4 X 1 X (8.65/1000)</v>
      </c>
      <c r="H11" s="609"/>
      <c r="I11" s="610">
        <f t="shared" ref="I11:I14" si="1">IF(F11=0,0,C11*D11*(8.65/1000))</f>
        <v>3.4599999999999999E-2</v>
      </c>
      <c r="J11" s="611"/>
      <c r="K11" s="612">
        <f t="shared" ref="K11:K14" si="2">F11*I11</f>
        <v>0.83040000000000003</v>
      </c>
      <c r="L11" s="613"/>
      <c r="M11" s="14"/>
      <c r="P11" s="331"/>
      <c r="Q11" s="332">
        <v>50</v>
      </c>
      <c r="R11" s="333">
        <v>9</v>
      </c>
    </row>
    <row r="12" spans="1:19" ht="30" customHeight="1" x14ac:dyDescent="0.3">
      <c r="A12" s="14"/>
      <c r="B12" s="339"/>
      <c r="C12" s="340"/>
      <c r="D12" s="341"/>
      <c r="E12" s="337"/>
      <c r="F12" s="337"/>
      <c r="G12" s="608">
        <f t="shared" si="0"/>
        <v>0</v>
      </c>
      <c r="H12" s="609"/>
      <c r="I12" s="610">
        <f t="shared" si="1"/>
        <v>0</v>
      </c>
      <c r="J12" s="611"/>
      <c r="K12" s="612">
        <f t="shared" si="2"/>
        <v>0</v>
      </c>
      <c r="L12" s="613"/>
      <c r="M12" s="14"/>
      <c r="Q12" s="332">
        <v>70</v>
      </c>
      <c r="R12" s="333">
        <v>10</v>
      </c>
    </row>
    <row r="13" spans="1:19" ht="30" customHeight="1" x14ac:dyDescent="0.25">
      <c r="A13" s="15"/>
      <c r="B13" s="339"/>
      <c r="C13" s="340"/>
      <c r="D13" s="341"/>
      <c r="E13" s="337"/>
      <c r="F13" s="337"/>
      <c r="G13" s="608">
        <f t="shared" si="0"/>
        <v>0</v>
      </c>
      <c r="H13" s="609"/>
      <c r="I13" s="610">
        <f t="shared" si="1"/>
        <v>0</v>
      </c>
      <c r="J13" s="611"/>
      <c r="K13" s="612">
        <f t="shared" si="2"/>
        <v>0</v>
      </c>
      <c r="L13" s="613"/>
      <c r="M13" s="15"/>
      <c r="P13" s="331"/>
      <c r="Q13" s="332">
        <v>95</v>
      </c>
      <c r="R13" s="342"/>
    </row>
    <row r="14" spans="1:19" ht="30" customHeight="1" x14ac:dyDescent="0.25">
      <c r="A14" s="15"/>
      <c r="B14" s="339"/>
      <c r="C14" s="340"/>
      <c r="D14" s="341"/>
      <c r="E14" s="337"/>
      <c r="F14" s="337"/>
      <c r="G14" s="608">
        <f t="shared" si="0"/>
        <v>0</v>
      </c>
      <c r="H14" s="609"/>
      <c r="I14" s="610">
        <f t="shared" si="1"/>
        <v>0</v>
      </c>
      <c r="J14" s="611"/>
      <c r="K14" s="612">
        <f t="shared" si="2"/>
        <v>0</v>
      </c>
      <c r="L14" s="613"/>
      <c r="M14" s="15"/>
      <c r="P14" s="342"/>
      <c r="Q14" s="332">
        <v>120</v>
      </c>
      <c r="R14" s="342"/>
      <c r="S14" s="342"/>
    </row>
    <row r="15" spans="1:19" ht="30" customHeight="1" x14ac:dyDescent="0.25">
      <c r="A15" s="605" t="s">
        <v>681</v>
      </c>
      <c r="B15" s="606"/>
      <c r="C15" s="606"/>
      <c r="D15" s="606"/>
      <c r="E15" s="606"/>
      <c r="F15" s="606"/>
      <c r="G15" s="606"/>
      <c r="H15" s="606"/>
      <c r="I15" s="606"/>
      <c r="J15" s="606"/>
      <c r="K15" s="606"/>
      <c r="L15" s="606"/>
      <c r="M15" s="607"/>
      <c r="P15" s="342"/>
      <c r="Q15" s="332">
        <v>240</v>
      </c>
      <c r="R15" s="342"/>
      <c r="S15" s="342"/>
    </row>
    <row r="16" spans="1:19" x14ac:dyDescent="0.3">
      <c r="Q16" s="332">
        <v>300</v>
      </c>
    </row>
  </sheetData>
  <protectedRanges>
    <protectedRange sqref="P3:R3 P4 Q4:Q16 R4:R12" name="범위1"/>
  </protectedRanges>
  <mergeCells count="32">
    <mergeCell ref="C8:D8"/>
    <mergeCell ref="A3:A4"/>
    <mergeCell ref="B3:B4"/>
    <mergeCell ref="C3:D4"/>
    <mergeCell ref="E3:F3"/>
    <mergeCell ref="K3:L3"/>
    <mergeCell ref="M3:M4"/>
    <mergeCell ref="C5:D5"/>
    <mergeCell ref="C6:D6"/>
    <mergeCell ref="C7:D7"/>
    <mergeCell ref="G3:H3"/>
    <mergeCell ref="I3:J3"/>
    <mergeCell ref="B9:D9"/>
    <mergeCell ref="G9:H9"/>
    <mergeCell ref="I9:J9"/>
    <mergeCell ref="K9:L9"/>
    <mergeCell ref="G10:H10"/>
    <mergeCell ref="I10:J10"/>
    <mergeCell ref="K10:L10"/>
    <mergeCell ref="G11:H11"/>
    <mergeCell ref="I11:J11"/>
    <mergeCell ref="K11:L11"/>
    <mergeCell ref="G12:H12"/>
    <mergeCell ref="I12:J12"/>
    <mergeCell ref="K12:L12"/>
    <mergeCell ref="A15:M15"/>
    <mergeCell ref="G13:H13"/>
    <mergeCell ref="I13:J13"/>
    <mergeCell ref="K13:L13"/>
    <mergeCell ref="G14:H14"/>
    <mergeCell ref="I14:J14"/>
    <mergeCell ref="K14:L14"/>
  </mergeCells>
  <phoneticPr fontId="1" type="noConversion"/>
  <dataValidations count="3">
    <dataValidation type="list" allowBlank="1" showInputMessage="1" showErrorMessage="1" sqref="C10:C14" xr:uid="{A982BEB5-07BB-4A71-8C02-22C7F941120B}">
      <formula1>$Q$3:$Q$15</formula1>
    </dataValidation>
    <dataValidation type="list" allowBlank="1" showInputMessage="1" showErrorMessage="1" sqref="B10:B14" xr:uid="{197E95A0-3F04-47D9-8036-AA4FA1B94CAB}">
      <formula1>$P$3:$P$7</formula1>
    </dataValidation>
    <dataValidation type="list" allowBlank="1" showInputMessage="1" showErrorMessage="1" sqref="D10:D14" xr:uid="{66E37786-9E74-4D65-8303-69022C766055}">
      <formula1>$R$3:$R$15</formula1>
    </dataValidation>
  </dataValidations>
  <pageMargins left="0.78740157480314954" right="0" top="0.39370078740157477" bottom="0.39370078740157477" header="0" footer="0"/>
  <pageSetup paperSize="9" scale="67"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8008E6-6547-4DD8-BB6E-3167A9084579}">
  <sheetPr>
    <pageSetUpPr fitToPage="1"/>
  </sheetPr>
  <dimension ref="A1:T27"/>
  <sheetViews>
    <sheetView workbookViewId="0">
      <selection activeCell="E5" sqref="E5:L11"/>
    </sheetView>
  </sheetViews>
  <sheetFormatPr defaultRowHeight="16.5" x14ac:dyDescent="0.3"/>
  <cols>
    <col min="1" max="1" width="40.625" customWidth="1"/>
    <col min="2" max="2" width="20.625" customWidth="1"/>
    <col min="3" max="4" width="4.625" customWidth="1"/>
    <col min="5" max="12" width="13.625" customWidth="1"/>
    <col min="13" max="13" width="12.625" customWidth="1"/>
    <col min="14" max="16" width="2.625" hidden="1" customWidth="1"/>
    <col min="17" max="19" width="1.625" hidden="1" customWidth="1"/>
    <col min="20" max="20" width="18.625" hidden="1" customWidth="1"/>
  </cols>
  <sheetData>
    <row r="1" spans="1:20" ht="30" customHeight="1" x14ac:dyDescent="0.3">
      <c r="A1" s="2" t="s">
        <v>0</v>
      </c>
      <c r="B1" s="3"/>
      <c r="C1" s="3"/>
      <c r="D1" s="3"/>
      <c r="E1" s="3"/>
      <c r="F1" s="3"/>
      <c r="G1" s="3"/>
      <c r="H1" s="3"/>
      <c r="I1" s="3"/>
      <c r="J1" s="3"/>
      <c r="K1" s="3"/>
      <c r="L1" s="3"/>
      <c r="M1" s="3"/>
    </row>
    <row r="2" spans="1:20" ht="30" customHeight="1" x14ac:dyDescent="0.3">
      <c r="A2" s="4" t="s">
        <v>682</v>
      </c>
      <c r="B2" s="5"/>
      <c r="C2" s="5"/>
      <c r="D2" s="5"/>
      <c r="E2" s="5"/>
      <c r="F2" s="5"/>
      <c r="G2" s="5"/>
      <c r="H2" s="5"/>
      <c r="I2" s="5"/>
      <c r="J2" s="5"/>
      <c r="K2" s="5"/>
      <c r="L2" s="5"/>
      <c r="M2" s="6"/>
    </row>
    <row r="3" spans="1:20" ht="30" customHeight="1" x14ac:dyDescent="0.3">
      <c r="A3" s="623" t="s">
        <v>2</v>
      </c>
      <c r="B3" s="623" t="s">
        <v>3</v>
      </c>
      <c r="C3" s="623" t="s">
        <v>4</v>
      </c>
      <c r="D3" s="623" t="s">
        <v>5</v>
      </c>
      <c r="E3" s="623" t="s">
        <v>6</v>
      </c>
      <c r="F3" s="623"/>
      <c r="G3" s="623" t="s">
        <v>9</v>
      </c>
      <c r="H3" s="623"/>
      <c r="I3" s="623" t="s">
        <v>10</v>
      </c>
      <c r="J3" s="623"/>
      <c r="K3" s="623" t="s">
        <v>11</v>
      </c>
      <c r="L3" s="623"/>
      <c r="M3" s="623" t="s">
        <v>12</v>
      </c>
      <c r="N3" s="625" t="s">
        <v>13</v>
      </c>
      <c r="O3" s="625" t="s">
        <v>14</v>
      </c>
      <c r="P3" s="625" t="s">
        <v>15</v>
      </c>
      <c r="Q3" s="625" t="s">
        <v>16</v>
      </c>
      <c r="R3" s="625" t="s">
        <v>17</v>
      </c>
      <c r="S3" s="625" t="s">
        <v>18</v>
      </c>
      <c r="T3" s="625" t="s">
        <v>19</v>
      </c>
    </row>
    <row r="4" spans="1:20" ht="30" customHeight="1" x14ac:dyDescent="0.3">
      <c r="A4" s="624"/>
      <c r="B4" s="624"/>
      <c r="C4" s="624"/>
      <c r="D4" s="624"/>
      <c r="E4" s="9" t="s">
        <v>7</v>
      </c>
      <c r="F4" s="9" t="s">
        <v>8</v>
      </c>
      <c r="G4" s="9" t="s">
        <v>7</v>
      </c>
      <c r="H4" s="9" t="s">
        <v>8</v>
      </c>
      <c r="I4" s="9" t="s">
        <v>7</v>
      </c>
      <c r="J4" s="9" t="s">
        <v>8</v>
      </c>
      <c r="K4" s="9" t="s">
        <v>7</v>
      </c>
      <c r="L4" s="9" t="s">
        <v>8</v>
      </c>
      <c r="M4" s="624"/>
      <c r="N4" s="625"/>
      <c r="O4" s="625"/>
      <c r="P4" s="625"/>
      <c r="Q4" s="625"/>
      <c r="R4" s="625"/>
      <c r="S4" s="625"/>
      <c r="T4" s="625"/>
    </row>
    <row r="5" spans="1:20" ht="30" customHeight="1" x14ac:dyDescent="0.3">
      <c r="A5" s="10" t="s">
        <v>683</v>
      </c>
      <c r="B5" s="10" t="s">
        <v>51</v>
      </c>
      <c r="C5" s="10" t="s">
        <v>51</v>
      </c>
      <c r="D5" s="11">
        <v>1</v>
      </c>
      <c r="E5" s="12"/>
      <c r="F5" s="12"/>
      <c r="G5" s="12"/>
      <c r="H5" s="12"/>
      <c r="I5" s="12"/>
      <c r="J5" s="12"/>
      <c r="K5" s="12"/>
      <c r="L5" s="12"/>
      <c r="M5" s="10" t="s">
        <v>51</v>
      </c>
      <c r="N5" s="1" t="s">
        <v>52</v>
      </c>
      <c r="O5" s="1" t="s">
        <v>51</v>
      </c>
      <c r="P5" s="1" t="s">
        <v>51</v>
      </c>
      <c r="Q5" s="1" t="s">
        <v>51</v>
      </c>
      <c r="R5">
        <v>1</v>
      </c>
      <c r="S5" s="1" t="s">
        <v>51</v>
      </c>
      <c r="T5" s="8"/>
    </row>
    <row r="6" spans="1:20" ht="30" customHeight="1" x14ac:dyDescent="0.3">
      <c r="A6" s="10" t="s">
        <v>53</v>
      </c>
      <c r="B6" s="10" t="s">
        <v>51</v>
      </c>
      <c r="C6" s="10" t="s">
        <v>51</v>
      </c>
      <c r="D6" s="11">
        <v>1</v>
      </c>
      <c r="E6" s="12"/>
      <c r="F6" s="12"/>
      <c r="G6" s="12"/>
      <c r="H6" s="12"/>
      <c r="I6" s="12"/>
      <c r="J6" s="12"/>
      <c r="K6" s="12"/>
      <c r="L6" s="12"/>
      <c r="M6" s="10" t="s">
        <v>51</v>
      </c>
      <c r="N6" s="1" t="s">
        <v>54</v>
      </c>
      <c r="O6" s="1" t="s">
        <v>51</v>
      </c>
      <c r="P6" s="1" t="s">
        <v>52</v>
      </c>
      <c r="Q6" s="1" t="s">
        <v>51</v>
      </c>
      <c r="R6">
        <v>2</v>
      </c>
      <c r="S6" s="1" t="s">
        <v>51</v>
      </c>
      <c r="T6" s="8"/>
    </row>
    <row r="7" spans="1:20" ht="30" customHeight="1" x14ac:dyDescent="0.3">
      <c r="A7" s="10" t="s">
        <v>96</v>
      </c>
      <c r="B7" s="10" t="s">
        <v>51</v>
      </c>
      <c r="C7" s="10" t="s">
        <v>51</v>
      </c>
      <c r="D7" s="11">
        <v>1</v>
      </c>
      <c r="E7" s="12"/>
      <c r="F7" s="12"/>
      <c r="G7" s="12"/>
      <c r="H7" s="12"/>
      <c r="I7" s="12"/>
      <c r="J7" s="12"/>
      <c r="K7" s="12"/>
      <c r="L7" s="12"/>
      <c r="M7" s="10" t="s">
        <v>51</v>
      </c>
      <c r="N7" s="1" t="s">
        <v>97</v>
      </c>
      <c r="O7" s="1" t="s">
        <v>51</v>
      </c>
      <c r="P7" s="1" t="s">
        <v>52</v>
      </c>
      <c r="Q7" s="1" t="s">
        <v>51</v>
      </c>
      <c r="R7">
        <v>2</v>
      </c>
      <c r="S7" s="1" t="s">
        <v>51</v>
      </c>
      <c r="T7" s="8"/>
    </row>
    <row r="8" spans="1:20" ht="30" customHeight="1" x14ac:dyDescent="0.3">
      <c r="A8" s="10" t="s">
        <v>107</v>
      </c>
      <c r="B8" s="10" t="s">
        <v>51</v>
      </c>
      <c r="C8" s="10" t="s">
        <v>51</v>
      </c>
      <c r="D8" s="11">
        <v>1</v>
      </c>
      <c r="E8" s="12"/>
      <c r="F8" s="12"/>
      <c r="G8" s="12"/>
      <c r="H8" s="12"/>
      <c r="I8" s="12"/>
      <c r="J8" s="12"/>
      <c r="K8" s="12"/>
      <c r="L8" s="12"/>
      <c r="M8" s="10" t="s">
        <v>51</v>
      </c>
      <c r="N8" s="1" t="s">
        <v>108</v>
      </c>
      <c r="O8" s="1" t="s">
        <v>51</v>
      </c>
      <c r="P8" s="1" t="s">
        <v>52</v>
      </c>
      <c r="Q8" s="1" t="s">
        <v>51</v>
      </c>
      <c r="R8">
        <v>2</v>
      </c>
      <c r="S8" s="1" t="s">
        <v>51</v>
      </c>
      <c r="T8" s="8"/>
    </row>
    <row r="9" spans="1:20" ht="30" customHeight="1" x14ac:dyDescent="0.3">
      <c r="A9" s="10" t="s">
        <v>146</v>
      </c>
      <c r="B9" s="10" t="s">
        <v>51</v>
      </c>
      <c r="C9" s="10" t="s">
        <v>51</v>
      </c>
      <c r="D9" s="11">
        <v>1</v>
      </c>
      <c r="E9" s="12"/>
      <c r="F9" s="12"/>
      <c r="G9" s="12"/>
      <c r="H9" s="12"/>
      <c r="I9" s="12"/>
      <c r="J9" s="12"/>
      <c r="K9" s="12"/>
      <c r="L9" s="12"/>
      <c r="M9" s="10" t="s">
        <v>51</v>
      </c>
      <c r="N9" s="1" t="s">
        <v>147</v>
      </c>
      <c r="O9" s="1" t="s">
        <v>51</v>
      </c>
      <c r="P9" s="1" t="s">
        <v>52</v>
      </c>
      <c r="Q9" s="1" t="s">
        <v>51</v>
      </c>
      <c r="R9">
        <v>2</v>
      </c>
      <c r="S9" s="1" t="s">
        <v>51</v>
      </c>
      <c r="T9" s="8"/>
    </row>
    <row r="10" spans="1:20" ht="30" customHeight="1" x14ac:dyDescent="0.3">
      <c r="A10" s="10" t="s">
        <v>175</v>
      </c>
      <c r="B10" s="10" t="s">
        <v>51</v>
      </c>
      <c r="C10" s="10" t="s">
        <v>51</v>
      </c>
      <c r="D10" s="11">
        <v>1</v>
      </c>
      <c r="E10" s="12"/>
      <c r="F10" s="12"/>
      <c r="G10" s="12"/>
      <c r="H10" s="12"/>
      <c r="I10" s="12"/>
      <c r="J10" s="12"/>
      <c r="K10" s="12"/>
      <c r="L10" s="12"/>
      <c r="M10" s="10" t="s">
        <v>51</v>
      </c>
      <c r="N10" s="1" t="s">
        <v>176</v>
      </c>
      <c r="O10" s="1" t="s">
        <v>51</v>
      </c>
      <c r="P10" s="1" t="s">
        <v>52</v>
      </c>
      <c r="Q10" s="1" t="s">
        <v>51</v>
      </c>
      <c r="R10">
        <v>2</v>
      </c>
      <c r="S10" s="1" t="s">
        <v>51</v>
      </c>
      <c r="T10" s="8"/>
    </row>
    <row r="11" spans="1:20" ht="30" customHeight="1" x14ac:dyDescent="0.3">
      <c r="A11" s="10" t="s">
        <v>215</v>
      </c>
      <c r="B11" s="10" t="s">
        <v>51</v>
      </c>
      <c r="C11" s="10" t="s">
        <v>51</v>
      </c>
      <c r="D11" s="11">
        <v>1</v>
      </c>
      <c r="E11" s="12"/>
      <c r="F11" s="12"/>
      <c r="G11" s="12"/>
      <c r="H11" s="12"/>
      <c r="I11" s="12"/>
      <c r="J11" s="12"/>
      <c r="K11" s="12"/>
      <c r="L11" s="12"/>
      <c r="M11" s="10" t="s">
        <v>51</v>
      </c>
      <c r="N11" s="1" t="s">
        <v>216</v>
      </c>
      <c r="O11" s="1" t="s">
        <v>51</v>
      </c>
      <c r="P11" s="1" t="s">
        <v>52</v>
      </c>
      <c r="Q11" s="1" t="s">
        <v>51</v>
      </c>
      <c r="R11">
        <v>2</v>
      </c>
      <c r="S11" s="1" t="s">
        <v>51</v>
      </c>
      <c r="T11" s="8"/>
    </row>
    <row r="12" spans="1:20" ht="30" customHeight="1" x14ac:dyDescent="0.3">
      <c r="A12" s="11"/>
      <c r="B12" s="11"/>
      <c r="C12" s="11"/>
      <c r="D12" s="11"/>
      <c r="E12" s="11"/>
      <c r="F12" s="11"/>
      <c r="G12" s="11"/>
      <c r="H12" s="11"/>
      <c r="I12" s="11"/>
      <c r="J12" s="11"/>
      <c r="K12" s="11"/>
      <c r="L12" s="11"/>
      <c r="M12" s="11"/>
      <c r="T12" s="8"/>
    </row>
    <row r="13" spans="1:20" ht="30" customHeight="1" x14ac:dyDescent="0.3">
      <c r="A13" s="14" t="s">
        <v>318</v>
      </c>
      <c r="B13" s="14" t="s">
        <v>51</v>
      </c>
      <c r="C13" s="14" t="s">
        <v>51</v>
      </c>
      <c r="D13" s="15">
        <v>1</v>
      </c>
      <c r="E13" s="16">
        <f>F14</f>
        <v>14889000</v>
      </c>
      <c r="F13" s="16">
        <f>E13*D13</f>
        <v>14889000</v>
      </c>
      <c r="G13" s="16">
        <f>H14</f>
        <v>0</v>
      </c>
      <c r="H13" s="16">
        <f>G13*D13</f>
        <v>0</v>
      </c>
      <c r="I13" s="16">
        <f>J14</f>
        <v>0</v>
      </c>
      <c r="J13" s="16">
        <f>I13*D13</f>
        <v>0</v>
      </c>
      <c r="K13" s="16">
        <f t="shared" ref="K13:L14" si="0">E13+G13+I13</f>
        <v>14889000</v>
      </c>
      <c r="L13" s="16">
        <f t="shared" si="0"/>
        <v>14889000</v>
      </c>
      <c r="M13" s="14" t="s">
        <v>51</v>
      </c>
      <c r="N13" s="1" t="s">
        <v>52</v>
      </c>
      <c r="O13" s="1" t="s">
        <v>51</v>
      </c>
      <c r="P13" s="1" t="s">
        <v>51</v>
      </c>
      <c r="Q13" s="1" t="s">
        <v>51</v>
      </c>
      <c r="R13">
        <v>1</v>
      </c>
      <c r="S13" s="1" t="s">
        <v>51</v>
      </c>
      <c r="T13" s="8"/>
    </row>
    <row r="14" spans="1:20" ht="30" customHeight="1" x14ac:dyDescent="0.3">
      <c r="A14" s="14" t="s">
        <v>319</v>
      </c>
      <c r="B14" s="14" t="s">
        <v>51</v>
      </c>
      <c r="C14" s="14" t="s">
        <v>51</v>
      </c>
      <c r="D14" s="15">
        <v>1</v>
      </c>
      <c r="E14" s="16">
        <v>14889000</v>
      </c>
      <c r="F14" s="16">
        <f>E14*D14</f>
        <v>14889000</v>
      </c>
      <c r="G14" s="16"/>
      <c r="H14" s="16">
        <f>G14*D14</f>
        <v>0</v>
      </c>
      <c r="I14" s="16"/>
      <c r="J14" s="16">
        <f>I14*D14</f>
        <v>0</v>
      </c>
      <c r="K14" s="16">
        <f t="shared" si="0"/>
        <v>14889000</v>
      </c>
      <c r="L14" s="16">
        <f t="shared" si="0"/>
        <v>14889000</v>
      </c>
      <c r="M14" s="14" t="s">
        <v>51</v>
      </c>
      <c r="N14" s="1" t="s">
        <v>54</v>
      </c>
      <c r="O14" s="1" t="s">
        <v>51</v>
      </c>
      <c r="P14" s="1" t="s">
        <v>52</v>
      </c>
      <c r="Q14" s="1" t="s">
        <v>51</v>
      </c>
      <c r="R14">
        <v>2</v>
      </c>
      <c r="S14" s="1" t="s">
        <v>51</v>
      </c>
      <c r="T14" s="8"/>
    </row>
    <row r="15" spans="1:20" ht="30" customHeight="1" x14ac:dyDescent="0.3">
      <c r="A15" s="15"/>
      <c r="B15" s="15"/>
      <c r="C15" s="15"/>
      <c r="D15" s="15"/>
      <c r="E15" s="15"/>
      <c r="F15" s="15"/>
      <c r="G15" s="15"/>
      <c r="H15" s="15"/>
      <c r="I15" s="15"/>
      <c r="J15" s="15"/>
      <c r="K15" s="15"/>
      <c r="L15" s="15"/>
      <c r="M15" s="15"/>
      <c r="T15" s="8"/>
    </row>
    <row r="16" spans="1:20" ht="30" customHeight="1" x14ac:dyDescent="0.3">
      <c r="A16" s="14" t="s">
        <v>320</v>
      </c>
      <c r="B16" s="14" t="s">
        <v>51</v>
      </c>
      <c r="C16" s="14" t="s">
        <v>51</v>
      </c>
      <c r="D16" s="15">
        <v>1</v>
      </c>
      <c r="E16" s="16">
        <f>F17+F18+F19+F20</f>
        <v>12510000</v>
      </c>
      <c r="F16" s="16">
        <f>E16*D16</f>
        <v>12510000</v>
      </c>
      <c r="G16" s="16">
        <f>H17+H18+H19+H20</f>
        <v>0</v>
      </c>
      <c r="H16" s="16">
        <f>G16*D16</f>
        <v>0</v>
      </c>
      <c r="I16" s="16">
        <f>J17+J18+J19+J20</f>
        <v>0</v>
      </c>
      <c r="J16" s="16">
        <f>I16*D16</f>
        <v>0</v>
      </c>
      <c r="K16" s="16">
        <f t="shared" ref="K16:L19" si="1">E16+G16+I16</f>
        <v>12510000</v>
      </c>
      <c r="L16" s="16">
        <f t="shared" si="1"/>
        <v>12510000</v>
      </c>
      <c r="M16" s="14" t="s">
        <v>51</v>
      </c>
      <c r="N16" s="1" t="s">
        <v>52</v>
      </c>
      <c r="O16" s="1" t="s">
        <v>51</v>
      </c>
      <c r="P16" s="1" t="s">
        <v>51</v>
      </c>
      <c r="Q16" s="1" t="s">
        <v>51</v>
      </c>
      <c r="R16">
        <v>1</v>
      </c>
      <c r="S16" s="1" t="s">
        <v>51</v>
      </c>
      <c r="T16" s="8"/>
    </row>
    <row r="17" spans="1:20" ht="30" customHeight="1" x14ac:dyDescent="0.3">
      <c r="A17" s="14" t="s">
        <v>321</v>
      </c>
      <c r="B17" s="14" t="s">
        <v>51</v>
      </c>
      <c r="C17" s="14" t="s">
        <v>51</v>
      </c>
      <c r="D17" s="15">
        <v>1</v>
      </c>
      <c r="E17" s="16">
        <v>5984000</v>
      </c>
      <c r="F17" s="16">
        <f>E17*D17</f>
        <v>5984000</v>
      </c>
      <c r="G17" s="16"/>
      <c r="H17" s="16">
        <f>G17*D17</f>
        <v>0</v>
      </c>
      <c r="I17" s="16"/>
      <c r="J17" s="16">
        <f>I17*D17</f>
        <v>0</v>
      </c>
      <c r="K17" s="16">
        <f t="shared" si="1"/>
        <v>5984000</v>
      </c>
      <c r="L17" s="16">
        <f t="shared" si="1"/>
        <v>5984000</v>
      </c>
      <c r="M17" s="14" t="s">
        <v>51</v>
      </c>
      <c r="N17" s="1" t="s">
        <v>54</v>
      </c>
      <c r="O17" s="1" t="s">
        <v>51</v>
      </c>
      <c r="P17" s="1" t="s">
        <v>52</v>
      </c>
      <c r="Q17" s="1" t="s">
        <v>51</v>
      </c>
      <c r="R17">
        <v>2</v>
      </c>
      <c r="S17" s="1" t="s">
        <v>51</v>
      </c>
      <c r="T17" s="8"/>
    </row>
    <row r="18" spans="1:20" ht="30" customHeight="1" x14ac:dyDescent="0.3">
      <c r="A18" s="14" t="s">
        <v>322</v>
      </c>
      <c r="B18" s="14" t="s">
        <v>51</v>
      </c>
      <c r="C18" s="14" t="s">
        <v>51</v>
      </c>
      <c r="D18" s="15">
        <v>1</v>
      </c>
      <c r="E18" s="16">
        <v>3302000</v>
      </c>
      <c r="F18" s="16">
        <f>E18*D18</f>
        <v>3302000</v>
      </c>
      <c r="G18" s="16"/>
      <c r="H18" s="16">
        <f>G18*D18</f>
        <v>0</v>
      </c>
      <c r="I18" s="16"/>
      <c r="J18" s="16">
        <f>I18*D18</f>
        <v>0</v>
      </c>
      <c r="K18" s="16">
        <f t="shared" si="1"/>
        <v>3302000</v>
      </c>
      <c r="L18" s="16">
        <f t="shared" si="1"/>
        <v>3302000</v>
      </c>
      <c r="M18" s="14" t="s">
        <v>51</v>
      </c>
      <c r="N18" s="1" t="s">
        <v>97</v>
      </c>
      <c r="O18" s="1" t="s">
        <v>51</v>
      </c>
      <c r="P18" s="1" t="s">
        <v>52</v>
      </c>
      <c r="Q18" s="1" t="s">
        <v>51</v>
      </c>
      <c r="R18">
        <v>2</v>
      </c>
      <c r="S18" s="1" t="s">
        <v>51</v>
      </c>
      <c r="T18" s="8"/>
    </row>
    <row r="19" spans="1:20" ht="30" customHeight="1" x14ac:dyDescent="0.3">
      <c r="A19" s="14" t="s">
        <v>323</v>
      </c>
      <c r="B19" s="14" t="s">
        <v>51</v>
      </c>
      <c r="C19" s="14" t="s">
        <v>51</v>
      </c>
      <c r="D19" s="15">
        <v>1</v>
      </c>
      <c r="E19" s="16">
        <v>3224000</v>
      </c>
      <c r="F19" s="16">
        <f>E19*D19</f>
        <v>3224000</v>
      </c>
      <c r="G19" s="16"/>
      <c r="H19" s="16">
        <f>G19*D19</f>
        <v>0</v>
      </c>
      <c r="I19" s="16"/>
      <c r="J19" s="16">
        <f>I19*D19</f>
        <v>0</v>
      </c>
      <c r="K19" s="16">
        <f t="shared" si="1"/>
        <v>3224000</v>
      </c>
      <c r="L19" s="16">
        <f t="shared" si="1"/>
        <v>3224000</v>
      </c>
      <c r="M19" s="14" t="s">
        <v>51</v>
      </c>
      <c r="N19" s="1" t="s">
        <v>108</v>
      </c>
      <c r="O19" s="1" t="s">
        <v>51</v>
      </c>
      <c r="P19" s="1" t="s">
        <v>52</v>
      </c>
      <c r="Q19" s="1" t="s">
        <v>51</v>
      </c>
      <c r="R19">
        <v>2</v>
      </c>
      <c r="S19" s="1" t="s">
        <v>51</v>
      </c>
      <c r="T19" s="8"/>
    </row>
    <row r="20" spans="1:20" ht="30" customHeight="1" x14ac:dyDescent="0.3">
      <c r="A20" s="11"/>
      <c r="B20" s="11"/>
      <c r="C20" s="11"/>
      <c r="D20" s="11"/>
      <c r="E20" s="11"/>
      <c r="F20" s="11"/>
      <c r="G20" s="11"/>
      <c r="H20" s="11"/>
      <c r="I20" s="11"/>
      <c r="J20" s="11"/>
      <c r="K20" s="11"/>
      <c r="L20" s="11"/>
      <c r="M20" s="11"/>
      <c r="T20" s="8"/>
    </row>
    <row r="21" spans="1:20" ht="30" customHeight="1" x14ac:dyDescent="0.3">
      <c r="A21" s="11"/>
      <c r="B21" s="11"/>
      <c r="C21" s="11"/>
      <c r="D21" s="11"/>
      <c r="E21" s="11"/>
      <c r="F21" s="11"/>
      <c r="G21" s="11"/>
      <c r="H21" s="11"/>
      <c r="I21" s="11"/>
      <c r="J21" s="11"/>
      <c r="K21" s="11"/>
      <c r="L21" s="11"/>
      <c r="M21" s="11"/>
      <c r="T21" s="8"/>
    </row>
    <row r="22" spans="1:20" ht="30" customHeight="1" x14ac:dyDescent="0.3">
      <c r="A22" s="11"/>
      <c r="B22" s="11"/>
      <c r="C22" s="11"/>
      <c r="D22" s="11"/>
      <c r="E22" s="11"/>
      <c r="F22" s="11"/>
      <c r="G22" s="11"/>
      <c r="H22" s="11"/>
      <c r="I22" s="11"/>
      <c r="J22" s="11"/>
      <c r="K22" s="11"/>
      <c r="L22" s="11"/>
      <c r="M22" s="11"/>
      <c r="T22" s="8"/>
    </row>
    <row r="23" spans="1:20" ht="30" customHeight="1" x14ac:dyDescent="0.3">
      <c r="A23" s="11"/>
      <c r="B23" s="11"/>
      <c r="C23" s="11"/>
      <c r="D23" s="11"/>
      <c r="E23" s="11"/>
      <c r="F23" s="11"/>
      <c r="G23" s="11"/>
      <c r="H23" s="11"/>
      <c r="I23" s="11"/>
      <c r="J23" s="11"/>
      <c r="K23" s="11"/>
      <c r="L23" s="11"/>
      <c r="M23" s="11"/>
      <c r="T23" s="8"/>
    </row>
    <row r="24" spans="1:20" ht="30" customHeight="1" x14ac:dyDescent="0.3">
      <c r="A24" s="11"/>
      <c r="B24" s="11"/>
      <c r="C24" s="11"/>
      <c r="D24" s="11"/>
      <c r="E24" s="11"/>
      <c r="F24" s="11"/>
      <c r="G24" s="11"/>
      <c r="H24" s="11"/>
      <c r="I24" s="11"/>
      <c r="J24" s="11"/>
      <c r="K24" s="11"/>
      <c r="L24" s="11"/>
      <c r="M24" s="11"/>
      <c r="T24" s="8"/>
    </row>
    <row r="25" spans="1:20" ht="30" customHeight="1" x14ac:dyDescent="0.3">
      <c r="A25" s="11"/>
      <c r="B25" s="11"/>
      <c r="C25" s="11"/>
      <c r="D25" s="11"/>
      <c r="E25" s="11"/>
      <c r="F25" s="11"/>
      <c r="G25" s="11"/>
      <c r="H25" s="11"/>
      <c r="I25" s="11"/>
      <c r="J25" s="11"/>
      <c r="K25" s="11"/>
      <c r="L25" s="11"/>
      <c r="M25" s="11"/>
      <c r="T25" s="8"/>
    </row>
    <row r="26" spans="1:20" ht="30" customHeight="1" x14ac:dyDescent="0.3">
      <c r="A26" s="11"/>
      <c r="B26" s="11"/>
      <c r="C26" s="11"/>
      <c r="D26" s="11"/>
      <c r="E26" s="11"/>
      <c r="F26" s="11"/>
      <c r="G26" s="11"/>
      <c r="H26" s="11"/>
      <c r="I26" s="11"/>
      <c r="J26" s="11"/>
      <c r="K26" s="11"/>
      <c r="L26" s="11"/>
      <c r="M26" s="11"/>
      <c r="T26" s="8"/>
    </row>
    <row r="27" spans="1:20" ht="30" customHeight="1" x14ac:dyDescent="0.3">
      <c r="A27" s="10" t="s">
        <v>94</v>
      </c>
      <c r="B27" s="11"/>
      <c r="C27" s="11"/>
      <c r="D27" s="11"/>
      <c r="E27" s="11"/>
      <c r="F27" s="12">
        <f>F5</f>
        <v>0</v>
      </c>
      <c r="G27" s="11"/>
      <c r="H27" s="12">
        <f>H5</f>
        <v>0</v>
      </c>
      <c r="I27" s="11"/>
      <c r="J27" s="12">
        <f>J5</f>
        <v>0</v>
      </c>
      <c r="K27" s="11"/>
      <c r="L27" s="12">
        <f>L5</f>
        <v>0</v>
      </c>
      <c r="M27" s="11"/>
      <c r="T27" s="8"/>
    </row>
  </sheetData>
  <mergeCells count="16">
    <mergeCell ref="Q3:Q4"/>
    <mergeCell ref="R3:R4"/>
    <mergeCell ref="S3:S4"/>
    <mergeCell ref="T3:T4"/>
    <mergeCell ref="I3:J3"/>
    <mergeCell ref="K3:L3"/>
    <mergeCell ref="M3:M4"/>
    <mergeCell ref="N3:N4"/>
    <mergeCell ref="O3:O4"/>
    <mergeCell ref="P3:P4"/>
    <mergeCell ref="G3:H3"/>
    <mergeCell ref="A3:A4"/>
    <mergeCell ref="B3:B4"/>
    <mergeCell ref="C3:C4"/>
    <mergeCell ref="D3:D4"/>
    <mergeCell ref="E3:F3"/>
  </mergeCells>
  <phoneticPr fontId="1" type="noConversion"/>
  <pageMargins left="0.78740157480314954" right="0" top="0.39370078740157477" bottom="0.39370078740157477" header="0" footer="0"/>
  <pageSetup paperSize="9" scale="67" fitToHeight="0" orientation="landscape" horizontalDpi="1200" verticalDpi="12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13A290-0113-4DA4-9B23-CB95C78665CE}">
  <sheetPr>
    <pageSetUpPr fitToPage="1"/>
  </sheetPr>
  <dimension ref="A1:AV147"/>
  <sheetViews>
    <sheetView tabSelected="1" workbookViewId="0">
      <selection activeCell="D15" sqref="D15"/>
    </sheetView>
  </sheetViews>
  <sheetFormatPr defaultRowHeight="16.5" x14ac:dyDescent="0.3"/>
  <cols>
    <col min="1" max="2" width="30.625" customWidth="1"/>
    <col min="3" max="3" width="4.625" customWidth="1"/>
    <col min="4" max="4" width="8.625" customWidth="1"/>
    <col min="5" max="12" width="13.625" customWidth="1"/>
    <col min="13" max="13" width="12.625" customWidth="1"/>
    <col min="14" max="43" width="2.625" hidden="1" customWidth="1"/>
    <col min="44" max="44" width="10.625" hidden="1" customWidth="1"/>
    <col min="45" max="46" width="1.625" hidden="1" customWidth="1"/>
    <col min="47" max="47" width="24.625" hidden="1" customWidth="1"/>
    <col min="48" max="48" width="10.625" hidden="1" customWidth="1"/>
  </cols>
  <sheetData>
    <row r="1" spans="1:48" ht="30" customHeight="1" x14ac:dyDescent="0.3">
      <c r="A1" s="4" t="s">
        <v>682</v>
      </c>
      <c r="B1" s="5"/>
      <c r="C1" s="5"/>
      <c r="D1" s="5"/>
      <c r="E1" s="5"/>
      <c r="F1" s="5"/>
      <c r="G1" s="5"/>
      <c r="H1" s="5"/>
      <c r="I1" s="5"/>
      <c r="J1" s="5"/>
      <c r="K1" s="5"/>
      <c r="L1" s="5"/>
      <c r="M1" s="6"/>
    </row>
    <row r="2" spans="1:48" ht="30" customHeight="1" x14ac:dyDescent="0.3">
      <c r="A2" s="623" t="s">
        <v>2</v>
      </c>
      <c r="B2" s="623" t="s">
        <v>3</v>
      </c>
      <c r="C2" s="623" t="s">
        <v>4</v>
      </c>
      <c r="D2" s="623" t="s">
        <v>5</v>
      </c>
      <c r="E2" s="623" t="s">
        <v>6</v>
      </c>
      <c r="F2" s="623"/>
      <c r="G2" s="623" t="s">
        <v>9</v>
      </c>
      <c r="H2" s="623"/>
      <c r="I2" s="623" t="s">
        <v>10</v>
      </c>
      <c r="J2" s="623"/>
      <c r="K2" s="623" t="s">
        <v>11</v>
      </c>
      <c r="L2" s="623"/>
      <c r="M2" s="623" t="s">
        <v>12</v>
      </c>
      <c r="N2" s="625" t="s">
        <v>20</v>
      </c>
      <c r="O2" s="625" t="s">
        <v>14</v>
      </c>
      <c r="P2" s="625" t="s">
        <v>21</v>
      </c>
      <c r="Q2" s="625" t="s">
        <v>13</v>
      </c>
      <c r="R2" s="625" t="s">
        <v>22</v>
      </c>
      <c r="S2" s="625" t="s">
        <v>23</v>
      </c>
      <c r="T2" s="625" t="s">
        <v>24</v>
      </c>
      <c r="U2" s="625" t="s">
        <v>25</v>
      </c>
      <c r="V2" s="625" t="s">
        <v>26</v>
      </c>
      <c r="W2" s="625" t="s">
        <v>27</v>
      </c>
      <c r="X2" s="625" t="s">
        <v>28</v>
      </c>
      <c r="Y2" s="625" t="s">
        <v>29</v>
      </c>
      <c r="Z2" s="625" t="s">
        <v>30</v>
      </c>
      <c r="AA2" s="625" t="s">
        <v>31</v>
      </c>
      <c r="AB2" s="625" t="s">
        <v>32</v>
      </c>
      <c r="AC2" s="625" t="s">
        <v>33</v>
      </c>
      <c r="AD2" s="625" t="s">
        <v>34</v>
      </c>
      <c r="AE2" s="625" t="s">
        <v>35</v>
      </c>
      <c r="AF2" s="625" t="s">
        <v>36</v>
      </c>
      <c r="AG2" s="625" t="s">
        <v>37</v>
      </c>
      <c r="AH2" s="625" t="s">
        <v>38</v>
      </c>
      <c r="AI2" s="625" t="s">
        <v>39</v>
      </c>
      <c r="AJ2" s="625" t="s">
        <v>40</v>
      </c>
      <c r="AK2" s="625" t="s">
        <v>41</v>
      </c>
      <c r="AL2" s="625" t="s">
        <v>42</v>
      </c>
      <c r="AM2" s="625" t="s">
        <v>43</v>
      </c>
      <c r="AN2" s="625" t="s">
        <v>44</v>
      </c>
      <c r="AO2" s="625" t="s">
        <v>45</v>
      </c>
      <c r="AP2" s="625" t="s">
        <v>46</v>
      </c>
      <c r="AQ2" s="625" t="s">
        <v>47</v>
      </c>
      <c r="AR2" s="625" t="s">
        <v>48</v>
      </c>
      <c r="AS2" s="625" t="s">
        <v>16</v>
      </c>
      <c r="AT2" s="625" t="s">
        <v>17</v>
      </c>
      <c r="AU2" s="625" t="s">
        <v>49</v>
      </c>
      <c r="AV2" s="625" t="s">
        <v>50</v>
      </c>
    </row>
    <row r="3" spans="1:48" ht="30" customHeight="1" x14ac:dyDescent="0.3">
      <c r="A3" s="623"/>
      <c r="B3" s="623"/>
      <c r="C3" s="623"/>
      <c r="D3" s="623"/>
      <c r="E3" s="7" t="s">
        <v>7</v>
      </c>
      <c r="F3" s="7" t="s">
        <v>8</v>
      </c>
      <c r="G3" s="7" t="s">
        <v>7</v>
      </c>
      <c r="H3" s="7" t="s">
        <v>8</v>
      </c>
      <c r="I3" s="7" t="s">
        <v>7</v>
      </c>
      <c r="J3" s="7" t="s">
        <v>8</v>
      </c>
      <c r="K3" s="7" t="s">
        <v>7</v>
      </c>
      <c r="L3" s="7" t="s">
        <v>8</v>
      </c>
      <c r="M3" s="623"/>
      <c r="N3" s="625"/>
      <c r="O3" s="625"/>
      <c r="P3" s="625"/>
      <c r="Q3" s="625"/>
      <c r="R3" s="625"/>
      <c r="S3" s="625"/>
      <c r="T3" s="625"/>
      <c r="U3" s="625"/>
      <c r="V3" s="625"/>
      <c r="W3" s="625"/>
      <c r="X3" s="625"/>
      <c r="Y3" s="625"/>
      <c r="Z3" s="625"/>
      <c r="AA3" s="625"/>
      <c r="AB3" s="625"/>
      <c r="AC3" s="625"/>
      <c r="AD3" s="625"/>
      <c r="AE3" s="625"/>
      <c r="AF3" s="625"/>
      <c r="AG3" s="625"/>
      <c r="AH3" s="625"/>
      <c r="AI3" s="625"/>
      <c r="AJ3" s="625"/>
      <c r="AK3" s="625"/>
      <c r="AL3" s="625"/>
      <c r="AM3" s="625"/>
      <c r="AN3" s="625"/>
      <c r="AO3" s="625"/>
      <c r="AP3" s="625"/>
      <c r="AQ3" s="625"/>
      <c r="AR3" s="625"/>
      <c r="AS3" s="625"/>
      <c r="AT3" s="625"/>
      <c r="AU3" s="625"/>
      <c r="AV3" s="625"/>
    </row>
    <row r="4" spans="1:48" ht="30" customHeight="1" x14ac:dyDescent="0.3">
      <c r="A4" s="13" t="s">
        <v>53</v>
      </c>
      <c r="B4" s="13" t="s">
        <v>51</v>
      </c>
      <c r="C4" s="11"/>
      <c r="D4" s="11"/>
      <c r="E4" s="12"/>
      <c r="F4" s="12"/>
      <c r="G4" s="12"/>
      <c r="H4" s="12"/>
      <c r="I4" s="12"/>
      <c r="J4" s="12"/>
      <c r="K4" s="12"/>
      <c r="L4" s="12"/>
      <c r="M4" s="11"/>
      <c r="Q4" s="1" t="s">
        <v>54</v>
      </c>
    </row>
    <row r="5" spans="1:48" ht="30" customHeight="1" x14ac:dyDescent="0.3">
      <c r="A5" s="13" t="s">
        <v>55</v>
      </c>
      <c r="B5" s="13" t="s">
        <v>56</v>
      </c>
      <c r="C5" s="13" t="s">
        <v>57</v>
      </c>
      <c r="D5" s="11">
        <v>5</v>
      </c>
      <c r="E5" s="12"/>
      <c r="F5" s="12"/>
      <c r="G5" s="12"/>
      <c r="H5" s="12"/>
      <c r="I5" s="12"/>
      <c r="J5" s="12"/>
      <c r="K5" s="12"/>
      <c r="L5" s="12"/>
      <c r="M5" s="13"/>
      <c r="N5" s="1" t="s">
        <v>58</v>
      </c>
      <c r="O5" s="1" t="s">
        <v>51</v>
      </c>
      <c r="P5" s="1" t="s">
        <v>51</v>
      </c>
      <c r="Q5" s="1" t="s">
        <v>54</v>
      </c>
      <c r="R5" s="1" t="s">
        <v>59</v>
      </c>
      <c r="S5" s="1" t="s">
        <v>60</v>
      </c>
      <c r="T5" s="1" t="s">
        <v>60</v>
      </c>
      <c r="AR5" s="1" t="s">
        <v>51</v>
      </c>
      <c r="AS5" s="1" t="s">
        <v>51</v>
      </c>
      <c r="AU5" s="1" t="s">
        <v>61</v>
      </c>
      <c r="AV5">
        <v>3</v>
      </c>
    </row>
    <row r="6" spans="1:48" ht="30" customHeight="1" x14ac:dyDescent="0.3">
      <c r="A6" s="13" t="s">
        <v>62</v>
      </c>
      <c r="B6" s="13" t="s">
        <v>63</v>
      </c>
      <c r="C6" s="13" t="s">
        <v>57</v>
      </c>
      <c r="D6" s="11">
        <v>5</v>
      </c>
      <c r="E6" s="12"/>
      <c r="F6" s="12"/>
      <c r="G6" s="12"/>
      <c r="H6" s="12"/>
      <c r="I6" s="12"/>
      <c r="J6" s="12"/>
      <c r="K6" s="12"/>
      <c r="L6" s="12"/>
      <c r="M6" s="13"/>
      <c r="N6" s="1" t="s">
        <v>64</v>
      </c>
      <c r="O6" s="1" t="s">
        <v>51</v>
      </c>
      <c r="P6" s="1" t="s">
        <v>51</v>
      </c>
      <c r="Q6" s="1" t="s">
        <v>54</v>
      </c>
      <c r="R6" s="1" t="s">
        <v>59</v>
      </c>
      <c r="S6" s="1" t="s">
        <v>60</v>
      </c>
      <c r="T6" s="1" t="s">
        <v>60</v>
      </c>
      <c r="AR6" s="1" t="s">
        <v>51</v>
      </c>
      <c r="AS6" s="1" t="s">
        <v>51</v>
      </c>
      <c r="AU6" s="1" t="s">
        <v>65</v>
      </c>
      <c r="AV6">
        <v>4</v>
      </c>
    </row>
    <row r="7" spans="1:48" ht="30" customHeight="1" x14ac:dyDescent="0.3">
      <c r="A7" s="13" t="s">
        <v>66</v>
      </c>
      <c r="B7" s="13" t="s">
        <v>67</v>
      </c>
      <c r="C7" s="13" t="s">
        <v>68</v>
      </c>
      <c r="D7" s="11">
        <v>1</v>
      </c>
      <c r="E7" s="12"/>
      <c r="F7" s="12"/>
      <c r="G7" s="12"/>
      <c r="H7" s="12"/>
      <c r="I7" s="12"/>
      <c r="J7" s="12"/>
      <c r="K7" s="12"/>
      <c r="L7" s="12"/>
      <c r="M7" s="13"/>
      <c r="N7" s="1" t="s">
        <v>69</v>
      </c>
      <c r="O7" s="1" t="s">
        <v>51</v>
      </c>
      <c r="P7" s="1" t="s">
        <v>51</v>
      </c>
      <c r="Q7" s="1" t="s">
        <v>54</v>
      </c>
      <c r="R7" s="1" t="s">
        <v>59</v>
      </c>
      <c r="S7" s="1" t="s">
        <v>60</v>
      </c>
      <c r="T7" s="1" t="s">
        <v>60</v>
      </c>
      <c r="AR7" s="1" t="s">
        <v>51</v>
      </c>
      <c r="AS7" s="1" t="s">
        <v>51</v>
      </c>
      <c r="AU7" s="1" t="s">
        <v>70</v>
      </c>
      <c r="AV7">
        <v>5</v>
      </c>
    </row>
    <row r="8" spans="1:48" ht="30" customHeight="1" x14ac:dyDescent="0.3">
      <c r="A8" s="13" t="s">
        <v>71</v>
      </c>
      <c r="B8" s="13" t="s">
        <v>72</v>
      </c>
      <c r="C8" s="13" t="s">
        <v>73</v>
      </c>
      <c r="D8" s="11">
        <v>1</v>
      </c>
      <c r="E8" s="12"/>
      <c r="F8" s="12"/>
      <c r="G8" s="12"/>
      <c r="H8" s="12"/>
      <c r="I8" s="12"/>
      <c r="J8" s="12"/>
      <c r="K8" s="12"/>
      <c r="L8" s="12"/>
      <c r="M8" s="13"/>
      <c r="N8" s="1" t="s">
        <v>74</v>
      </c>
      <c r="O8" s="1" t="s">
        <v>51</v>
      </c>
      <c r="P8" s="1" t="s">
        <v>51</v>
      </c>
      <c r="Q8" s="1" t="s">
        <v>54</v>
      </c>
      <c r="R8" s="1" t="s">
        <v>59</v>
      </c>
      <c r="S8" s="1" t="s">
        <v>60</v>
      </c>
      <c r="T8" s="1" t="s">
        <v>60</v>
      </c>
      <c r="AR8" s="1" t="s">
        <v>51</v>
      </c>
      <c r="AS8" s="1" t="s">
        <v>51</v>
      </c>
      <c r="AU8" s="1" t="s">
        <v>75</v>
      </c>
      <c r="AV8">
        <v>6</v>
      </c>
    </row>
    <row r="9" spans="1:48" ht="30" customHeight="1" x14ac:dyDescent="0.3">
      <c r="A9" s="13" t="s">
        <v>71</v>
      </c>
      <c r="B9" s="13" t="s">
        <v>76</v>
      </c>
      <c r="C9" s="13" t="s">
        <v>73</v>
      </c>
      <c r="D9" s="11">
        <v>1</v>
      </c>
      <c r="E9" s="12"/>
      <c r="F9" s="12"/>
      <c r="G9" s="12"/>
      <c r="H9" s="12"/>
      <c r="I9" s="12"/>
      <c r="J9" s="12"/>
      <c r="K9" s="12"/>
      <c r="L9" s="12"/>
      <c r="M9" s="13"/>
      <c r="N9" s="1" t="s">
        <v>77</v>
      </c>
      <c r="O9" s="1" t="s">
        <v>51</v>
      </c>
      <c r="P9" s="1" t="s">
        <v>51</v>
      </c>
      <c r="Q9" s="1" t="s">
        <v>54</v>
      </c>
      <c r="R9" s="1" t="s">
        <v>59</v>
      </c>
      <c r="S9" s="1" t="s">
        <v>60</v>
      </c>
      <c r="T9" s="1" t="s">
        <v>60</v>
      </c>
      <c r="AR9" s="1" t="s">
        <v>51</v>
      </c>
      <c r="AS9" s="1" t="s">
        <v>51</v>
      </c>
      <c r="AU9" s="1" t="s">
        <v>78</v>
      </c>
      <c r="AV9">
        <v>7</v>
      </c>
    </row>
    <row r="10" spans="1:48" ht="30" customHeight="1" x14ac:dyDescent="0.3">
      <c r="A10" s="13" t="s">
        <v>79</v>
      </c>
      <c r="B10" s="13" t="s">
        <v>80</v>
      </c>
      <c r="C10" s="13" t="s">
        <v>81</v>
      </c>
      <c r="D10" s="11">
        <v>1</v>
      </c>
      <c r="E10" s="12"/>
      <c r="F10" s="12"/>
      <c r="G10" s="12"/>
      <c r="H10" s="12"/>
      <c r="I10" s="12"/>
      <c r="J10" s="12"/>
      <c r="K10" s="12"/>
      <c r="L10" s="12"/>
      <c r="M10" s="13"/>
      <c r="N10" s="1" t="s">
        <v>82</v>
      </c>
      <c r="O10" s="1" t="s">
        <v>51</v>
      </c>
      <c r="P10" s="1" t="s">
        <v>51</v>
      </c>
      <c r="Q10" s="1" t="s">
        <v>54</v>
      </c>
      <c r="R10" s="1" t="s">
        <v>60</v>
      </c>
      <c r="S10" s="1" t="s">
        <v>60</v>
      </c>
      <c r="T10" s="1" t="s">
        <v>59</v>
      </c>
      <c r="AR10" s="1" t="s">
        <v>51</v>
      </c>
      <c r="AS10" s="1" t="s">
        <v>51</v>
      </c>
      <c r="AU10" s="1" t="s">
        <v>83</v>
      </c>
      <c r="AV10">
        <v>8</v>
      </c>
    </row>
    <row r="11" spans="1:48" ht="30" customHeight="1" x14ac:dyDescent="0.3">
      <c r="A11" s="13" t="s">
        <v>84</v>
      </c>
      <c r="B11" s="13" t="s">
        <v>85</v>
      </c>
      <c r="C11" s="13" t="s">
        <v>86</v>
      </c>
      <c r="D11" s="11">
        <v>5</v>
      </c>
      <c r="E11" s="12"/>
      <c r="F11" s="12"/>
      <c r="G11" s="12"/>
      <c r="H11" s="12"/>
      <c r="I11" s="12"/>
      <c r="J11" s="12"/>
      <c r="K11" s="12"/>
      <c r="L11" s="12"/>
      <c r="M11" s="13"/>
      <c r="N11" s="1" t="s">
        <v>88</v>
      </c>
      <c r="O11" s="1" t="s">
        <v>51</v>
      </c>
      <c r="P11" s="1" t="s">
        <v>51</v>
      </c>
      <c r="Q11" s="1" t="s">
        <v>54</v>
      </c>
      <c r="R11" s="1" t="s">
        <v>59</v>
      </c>
      <c r="S11" s="1" t="s">
        <v>60</v>
      </c>
      <c r="T11" s="1" t="s">
        <v>60</v>
      </c>
      <c r="AR11" s="1" t="s">
        <v>51</v>
      </c>
      <c r="AS11" s="1" t="s">
        <v>51</v>
      </c>
      <c r="AU11" s="1" t="s">
        <v>89</v>
      </c>
      <c r="AV11">
        <v>38</v>
      </c>
    </row>
    <row r="12" spans="1:48" ht="30" customHeight="1" x14ac:dyDescent="0.3">
      <c r="A12" s="13" t="s">
        <v>90</v>
      </c>
      <c r="B12" s="13" t="s">
        <v>91</v>
      </c>
      <c r="C12" s="13" t="s">
        <v>86</v>
      </c>
      <c r="D12" s="11">
        <v>15</v>
      </c>
      <c r="E12" s="12"/>
      <c r="F12" s="12"/>
      <c r="G12" s="12"/>
      <c r="H12" s="12"/>
      <c r="I12" s="12"/>
      <c r="J12" s="12"/>
      <c r="K12" s="12"/>
      <c r="L12" s="12"/>
      <c r="M12" s="13"/>
      <c r="N12" s="1" t="s">
        <v>92</v>
      </c>
      <c r="O12" s="1" t="s">
        <v>51</v>
      </c>
      <c r="P12" s="1" t="s">
        <v>51</v>
      </c>
      <c r="Q12" s="1" t="s">
        <v>54</v>
      </c>
      <c r="R12" s="1" t="s">
        <v>59</v>
      </c>
      <c r="S12" s="1" t="s">
        <v>60</v>
      </c>
      <c r="T12" s="1" t="s">
        <v>60</v>
      </c>
      <c r="AR12" s="1" t="s">
        <v>51</v>
      </c>
      <c r="AS12" s="1" t="s">
        <v>51</v>
      </c>
      <c r="AU12" s="1" t="s">
        <v>93</v>
      </c>
      <c r="AV12">
        <v>10</v>
      </c>
    </row>
    <row r="13" spans="1:48" ht="30" customHeight="1" x14ac:dyDescent="0.3">
      <c r="A13" s="11"/>
      <c r="B13" s="11"/>
      <c r="C13" s="11"/>
      <c r="D13" s="11"/>
      <c r="E13" s="12"/>
      <c r="F13" s="12"/>
      <c r="G13" s="12"/>
      <c r="H13" s="12"/>
      <c r="I13" s="12"/>
      <c r="J13" s="12"/>
      <c r="K13" s="12"/>
      <c r="L13" s="12"/>
      <c r="M13" s="11"/>
      <c r="Q13" s="1" t="s">
        <v>54</v>
      </c>
    </row>
    <row r="14" spans="1:48" ht="30" customHeight="1" x14ac:dyDescent="0.3">
      <c r="A14" s="11"/>
      <c r="B14" s="11"/>
      <c r="C14" s="11"/>
      <c r="D14" s="11"/>
      <c r="E14" s="12"/>
      <c r="F14" s="12"/>
      <c r="G14" s="12"/>
      <c r="H14" s="12"/>
      <c r="I14" s="12"/>
      <c r="J14" s="12"/>
      <c r="K14" s="12"/>
      <c r="L14" s="12"/>
      <c r="M14" s="11"/>
      <c r="Q14" s="1" t="s">
        <v>54</v>
      </c>
    </row>
    <row r="15" spans="1:48" ht="30" customHeight="1" x14ac:dyDescent="0.3">
      <c r="A15" s="11"/>
      <c r="B15" s="11"/>
      <c r="C15" s="11"/>
      <c r="D15" s="11"/>
      <c r="E15" s="12"/>
      <c r="F15" s="12"/>
      <c r="G15" s="12"/>
      <c r="H15" s="12"/>
      <c r="I15" s="12"/>
      <c r="J15" s="12"/>
      <c r="K15" s="12"/>
      <c r="L15" s="12"/>
      <c r="M15" s="11"/>
      <c r="Q15" s="1" t="s">
        <v>54</v>
      </c>
    </row>
    <row r="16" spans="1:48" ht="30" customHeight="1" x14ac:dyDescent="0.3">
      <c r="A16" s="11"/>
      <c r="B16" s="11"/>
      <c r="C16" s="11"/>
      <c r="D16" s="11"/>
      <c r="E16" s="12"/>
      <c r="F16" s="12"/>
      <c r="G16" s="12"/>
      <c r="H16" s="12"/>
      <c r="I16" s="12"/>
      <c r="J16" s="12"/>
      <c r="K16" s="12"/>
      <c r="L16" s="12"/>
      <c r="M16" s="11"/>
      <c r="Q16" s="1" t="s">
        <v>54</v>
      </c>
    </row>
    <row r="17" spans="1:48" ht="30" customHeight="1" x14ac:dyDescent="0.3">
      <c r="A17" s="11"/>
      <c r="B17" s="11"/>
      <c r="C17" s="11"/>
      <c r="D17" s="11"/>
      <c r="E17" s="12"/>
      <c r="F17" s="12"/>
      <c r="G17" s="12"/>
      <c r="H17" s="12"/>
      <c r="I17" s="12"/>
      <c r="J17" s="12"/>
      <c r="K17" s="12"/>
      <c r="L17" s="12"/>
      <c r="M17" s="11"/>
      <c r="Q17" s="1" t="s">
        <v>54</v>
      </c>
    </row>
    <row r="18" spans="1:48" ht="30" customHeight="1" x14ac:dyDescent="0.3">
      <c r="A18" s="11"/>
      <c r="B18" s="11"/>
      <c r="C18" s="11"/>
      <c r="D18" s="11"/>
      <c r="E18" s="12"/>
      <c r="F18" s="12"/>
      <c r="G18" s="12"/>
      <c r="H18" s="12"/>
      <c r="I18" s="12"/>
      <c r="J18" s="12"/>
      <c r="K18" s="12"/>
      <c r="L18" s="12"/>
      <c r="M18" s="11"/>
      <c r="Q18" s="1" t="s">
        <v>54</v>
      </c>
    </row>
    <row r="19" spans="1:48" ht="30" customHeight="1" x14ac:dyDescent="0.3">
      <c r="A19" s="11"/>
      <c r="B19" s="11"/>
      <c r="C19" s="11"/>
      <c r="D19" s="11"/>
      <c r="E19" s="12"/>
      <c r="F19" s="12"/>
      <c r="G19" s="12"/>
      <c r="H19" s="12"/>
      <c r="I19" s="12"/>
      <c r="J19" s="12"/>
      <c r="K19" s="12"/>
      <c r="L19" s="12"/>
      <c r="M19" s="11"/>
      <c r="Q19" s="1" t="s">
        <v>54</v>
      </c>
    </row>
    <row r="20" spans="1:48" ht="30" customHeight="1" x14ac:dyDescent="0.3">
      <c r="A20" s="11"/>
      <c r="B20" s="11"/>
      <c r="C20" s="11"/>
      <c r="D20" s="11"/>
      <c r="E20" s="12"/>
      <c r="F20" s="12"/>
      <c r="G20" s="12"/>
      <c r="H20" s="12"/>
      <c r="I20" s="12"/>
      <c r="J20" s="12"/>
      <c r="K20" s="12"/>
      <c r="L20" s="12"/>
      <c r="M20" s="11"/>
      <c r="Q20" s="1" t="s">
        <v>54</v>
      </c>
    </row>
    <row r="21" spans="1:48" ht="30" customHeight="1" x14ac:dyDescent="0.3">
      <c r="A21" s="11"/>
      <c r="B21" s="11"/>
      <c r="C21" s="11"/>
      <c r="D21" s="11"/>
      <c r="E21" s="12"/>
      <c r="F21" s="12"/>
      <c r="G21" s="12"/>
      <c r="H21" s="12"/>
      <c r="I21" s="12"/>
      <c r="J21" s="12"/>
      <c r="K21" s="12"/>
      <c r="L21" s="12"/>
      <c r="M21" s="11"/>
      <c r="Q21" s="1" t="s">
        <v>54</v>
      </c>
    </row>
    <row r="22" spans="1:48" ht="30" customHeight="1" x14ac:dyDescent="0.3">
      <c r="A22" s="11"/>
      <c r="B22" s="11"/>
      <c r="C22" s="11"/>
      <c r="D22" s="11"/>
      <c r="E22" s="12"/>
      <c r="F22" s="12"/>
      <c r="G22" s="12"/>
      <c r="H22" s="12"/>
      <c r="I22" s="12"/>
      <c r="J22" s="12"/>
      <c r="K22" s="12"/>
      <c r="L22" s="12"/>
      <c r="M22" s="11"/>
      <c r="Q22" s="1" t="s">
        <v>54</v>
      </c>
    </row>
    <row r="23" spans="1:48" ht="30" customHeight="1" x14ac:dyDescent="0.3">
      <c r="A23" s="11"/>
      <c r="B23" s="11"/>
      <c r="C23" s="11"/>
      <c r="D23" s="11"/>
      <c r="E23" s="12"/>
      <c r="F23" s="12"/>
      <c r="G23" s="12"/>
      <c r="H23" s="12"/>
      <c r="I23" s="12"/>
      <c r="J23" s="12"/>
      <c r="K23" s="12"/>
      <c r="L23" s="12"/>
      <c r="M23" s="11"/>
      <c r="Q23" s="1" t="s">
        <v>54</v>
      </c>
    </row>
    <row r="24" spans="1:48" ht="30" customHeight="1" x14ac:dyDescent="0.3">
      <c r="A24" s="11"/>
      <c r="B24" s="11"/>
      <c r="C24" s="11"/>
      <c r="D24" s="11"/>
      <c r="E24" s="12"/>
      <c r="F24" s="12"/>
      <c r="G24" s="12"/>
      <c r="H24" s="12"/>
      <c r="I24" s="12"/>
      <c r="J24" s="12"/>
      <c r="K24" s="12"/>
      <c r="L24" s="12"/>
      <c r="M24" s="11"/>
      <c r="Q24" s="1" t="s">
        <v>54</v>
      </c>
    </row>
    <row r="25" spans="1:48" ht="30" customHeight="1" x14ac:dyDescent="0.3">
      <c r="A25" s="11"/>
      <c r="B25" s="11"/>
      <c r="C25" s="11"/>
      <c r="D25" s="11"/>
      <c r="E25" s="12"/>
      <c r="F25" s="12"/>
      <c r="G25" s="12"/>
      <c r="H25" s="12"/>
      <c r="I25" s="12"/>
      <c r="J25" s="12"/>
      <c r="K25" s="12"/>
      <c r="L25" s="12"/>
      <c r="M25" s="11"/>
      <c r="Q25" s="1" t="s">
        <v>54</v>
      </c>
    </row>
    <row r="26" spans="1:48" ht="30" customHeight="1" x14ac:dyDescent="0.3">
      <c r="A26" s="11"/>
      <c r="B26" s="11"/>
      <c r="C26" s="11"/>
      <c r="D26" s="11"/>
      <c r="E26" s="12"/>
      <c r="F26" s="12"/>
      <c r="G26" s="12"/>
      <c r="H26" s="12"/>
      <c r="I26" s="12"/>
      <c r="J26" s="12"/>
      <c r="K26" s="12"/>
      <c r="L26" s="12"/>
      <c r="M26" s="11"/>
      <c r="Q26" s="1" t="s">
        <v>54</v>
      </c>
    </row>
    <row r="27" spans="1:48" ht="30" customHeight="1" x14ac:dyDescent="0.3">
      <c r="A27" s="13" t="s">
        <v>94</v>
      </c>
      <c r="B27" s="11"/>
      <c r="C27" s="11"/>
      <c r="D27" s="11"/>
      <c r="E27" s="12"/>
      <c r="F27" s="12">
        <f>SUMIF(Q5:Q26,"0101",F5:F26)</f>
        <v>0</v>
      </c>
      <c r="G27" s="12"/>
      <c r="H27" s="12">
        <f>SUMIF(Q5:Q26,"0101",H5:H26)</f>
        <v>0</v>
      </c>
      <c r="I27" s="12"/>
      <c r="J27" s="12">
        <f>SUMIF(Q5:Q26,"0101",J5:J26)</f>
        <v>0</v>
      </c>
      <c r="K27" s="12"/>
      <c r="L27" s="12">
        <f>SUMIF(Q5:Q26,"0101",L5:L26)</f>
        <v>0</v>
      </c>
      <c r="M27" s="11"/>
      <c r="N27" t="s">
        <v>95</v>
      </c>
    </row>
    <row r="28" spans="1:48" ht="30" customHeight="1" x14ac:dyDescent="0.3">
      <c r="A28" s="13" t="s">
        <v>96</v>
      </c>
      <c r="B28" s="13" t="s">
        <v>51</v>
      </c>
      <c r="C28" s="11"/>
      <c r="D28" s="11"/>
      <c r="E28" s="12"/>
      <c r="F28" s="12"/>
      <c r="G28" s="12"/>
      <c r="H28" s="12"/>
      <c r="I28" s="12"/>
      <c r="J28" s="12"/>
      <c r="K28" s="12"/>
      <c r="L28" s="12"/>
      <c r="M28" s="11"/>
      <c r="Q28" s="1" t="s">
        <v>97</v>
      </c>
    </row>
    <row r="29" spans="1:48" ht="30" customHeight="1" x14ac:dyDescent="0.3">
      <c r="A29" s="13" t="s">
        <v>98</v>
      </c>
      <c r="B29" s="13" t="s">
        <v>51</v>
      </c>
      <c r="C29" s="13" t="s">
        <v>81</v>
      </c>
      <c r="D29" s="11">
        <v>1</v>
      </c>
      <c r="E29" s="12" t="e">
        <f>TRUNC(#REF!,0)</f>
        <v>#REF!</v>
      </c>
      <c r="F29" s="12" t="e">
        <f>TRUNC(E29*D29, 0)</f>
        <v>#REF!</v>
      </c>
      <c r="G29" s="12" t="e">
        <f>TRUNC(#REF!,0)</f>
        <v>#REF!</v>
      </c>
      <c r="H29" s="12" t="e">
        <f>TRUNC(G29*D29, 0)</f>
        <v>#REF!</v>
      </c>
      <c r="I29" s="12" t="e">
        <f>TRUNC(#REF!,0)</f>
        <v>#REF!</v>
      </c>
      <c r="J29" s="12" t="e">
        <f>TRUNC(I29*D29, 0)</f>
        <v>#REF!</v>
      </c>
      <c r="K29" s="12" t="e">
        <f>TRUNC(E29+G29+I29, 0)</f>
        <v>#REF!</v>
      </c>
      <c r="L29" s="12" t="e">
        <f>TRUNC(F29+H29+J29, 0)</f>
        <v>#REF!</v>
      </c>
      <c r="M29" s="13" t="s">
        <v>99</v>
      </c>
      <c r="N29" s="1" t="s">
        <v>100</v>
      </c>
      <c r="O29" s="1" t="s">
        <v>51</v>
      </c>
      <c r="P29" s="1" t="s">
        <v>51</v>
      </c>
      <c r="Q29" s="1" t="s">
        <v>97</v>
      </c>
      <c r="R29" s="1" t="s">
        <v>59</v>
      </c>
      <c r="S29" s="1" t="s">
        <v>60</v>
      </c>
      <c r="T29" s="1" t="s">
        <v>60</v>
      </c>
      <c r="AR29" s="1" t="s">
        <v>51</v>
      </c>
      <c r="AS29" s="1" t="s">
        <v>51</v>
      </c>
      <c r="AU29" s="1" t="s">
        <v>101</v>
      </c>
      <c r="AV29">
        <v>12</v>
      </c>
    </row>
    <row r="30" spans="1:48" ht="30" customHeight="1" x14ac:dyDescent="0.3">
      <c r="A30" s="13" t="s">
        <v>102</v>
      </c>
      <c r="B30" s="13" t="s">
        <v>103</v>
      </c>
      <c r="C30" s="13" t="s">
        <v>81</v>
      </c>
      <c r="D30" s="11">
        <v>6</v>
      </c>
      <c r="E30" s="12" t="e">
        <f>TRUNC(#REF!,0)</f>
        <v>#REF!</v>
      </c>
      <c r="F30" s="12" t="e">
        <f>TRUNC(E30*D30, 0)</f>
        <v>#REF!</v>
      </c>
      <c r="G30" s="12" t="e">
        <f>TRUNC(#REF!,0)</f>
        <v>#REF!</v>
      </c>
      <c r="H30" s="12" t="e">
        <f>TRUNC(G30*D30, 0)</f>
        <v>#REF!</v>
      </c>
      <c r="I30" s="12" t="e">
        <f>TRUNC(#REF!,0)</f>
        <v>#REF!</v>
      </c>
      <c r="J30" s="12" t="e">
        <f>TRUNC(I30*D30, 0)</f>
        <v>#REF!</v>
      </c>
      <c r="K30" s="12" t="e">
        <f>TRUNC(E30+G30+I30, 0)</f>
        <v>#REF!</v>
      </c>
      <c r="L30" s="12" t="e">
        <f>TRUNC(F30+H30+J30, 0)</f>
        <v>#REF!</v>
      </c>
      <c r="M30" s="13" t="s">
        <v>104</v>
      </c>
      <c r="N30" s="1" t="s">
        <v>105</v>
      </c>
      <c r="O30" s="1" t="s">
        <v>51</v>
      </c>
      <c r="P30" s="1" t="s">
        <v>51</v>
      </c>
      <c r="Q30" s="1" t="s">
        <v>97</v>
      </c>
      <c r="R30" s="1" t="s">
        <v>59</v>
      </c>
      <c r="S30" s="1" t="s">
        <v>60</v>
      </c>
      <c r="T30" s="1" t="s">
        <v>60</v>
      </c>
      <c r="AR30" s="1" t="s">
        <v>51</v>
      </c>
      <c r="AS30" s="1" t="s">
        <v>51</v>
      </c>
      <c r="AU30" s="1" t="s">
        <v>106</v>
      </c>
      <c r="AV30">
        <v>13</v>
      </c>
    </row>
    <row r="31" spans="1:48" ht="30" customHeight="1" x14ac:dyDescent="0.3">
      <c r="A31" s="11"/>
      <c r="B31" s="11"/>
      <c r="C31" s="11"/>
      <c r="D31" s="11"/>
      <c r="E31" s="12"/>
      <c r="F31" s="12"/>
      <c r="G31" s="12"/>
      <c r="H31" s="12"/>
      <c r="I31" s="12"/>
      <c r="J31" s="12"/>
      <c r="K31" s="12"/>
      <c r="L31" s="12"/>
      <c r="M31" s="11"/>
      <c r="Q31" s="1" t="s">
        <v>97</v>
      </c>
    </row>
    <row r="32" spans="1:48" ht="30" customHeight="1" x14ac:dyDescent="0.3">
      <c r="A32" s="11"/>
      <c r="B32" s="11"/>
      <c r="C32" s="11"/>
      <c r="D32" s="11"/>
      <c r="E32" s="12"/>
      <c r="F32" s="12"/>
      <c r="G32" s="12"/>
      <c r="H32" s="12"/>
      <c r="I32" s="12"/>
      <c r="J32" s="12"/>
      <c r="K32" s="12"/>
      <c r="L32" s="12"/>
      <c r="M32" s="11"/>
      <c r="Q32" s="1" t="s">
        <v>97</v>
      </c>
    </row>
    <row r="33" spans="1:17" ht="30" customHeight="1" x14ac:dyDescent="0.3">
      <c r="A33" s="11"/>
      <c r="B33" s="11"/>
      <c r="C33" s="11"/>
      <c r="D33" s="11"/>
      <c r="E33" s="12"/>
      <c r="F33" s="12"/>
      <c r="G33" s="12"/>
      <c r="H33" s="12"/>
      <c r="I33" s="12"/>
      <c r="J33" s="12"/>
      <c r="K33" s="12"/>
      <c r="L33" s="12"/>
      <c r="M33" s="11"/>
      <c r="Q33" s="1" t="s">
        <v>97</v>
      </c>
    </row>
    <row r="34" spans="1:17" ht="30" customHeight="1" x14ac:dyDescent="0.3">
      <c r="A34" s="11"/>
      <c r="B34" s="11"/>
      <c r="C34" s="11"/>
      <c r="D34" s="11"/>
      <c r="E34" s="12"/>
      <c r="F34" s="12"/>
      <c r="G34" s="12"/>
      <c r="H34" s="12"/>
      <c r="I34" s="12"/>
      <c r="J34" s="12"/>
      <c r="K34" s="12"/>
      <c r="L34" s="12"/>
      <c r="M34" s="11"/>
      <c r="Q34" s="1" t="s">
        <v>97</v>
      </c>
    </row>
    <row r="35" spans="1:17" ht="30" customHeight="1" x14ac:dyDescent="0.3">
      <c r="A35" s="11"/>
      <c r="B35" s="11"/>
      <c r="C35" s="11"/>
      <c r="D35" s="11"/>
      <c r="E35" s="12"/>
      <c r="F35" s="12"/>
      <c r="G35" s="12"/>
      <c r="H35" s="12"/>
      <c r="I35" s="12"/>
      <c r="J35" s="12"/>
      <c r="K35" s="12"/>
      <c r="L35" s="12"/>
      <c r="M35" s="11"/>
      <c r="Q35" s="1" t="s">
        <v>97</v>
      </c>
    </row>
    <row r="36" spans="1:17" ht="30" customHeight="1" x14ac:dyDescent="0.3">
      <c r="A36" s="11"/>
      <c r="B36" s="11"/>
      <c r="C36" s="11"/>
      <c r="D36" s="11"/>
      <c r="E36" s="12"/>
      <c r="F36" s="12"/>
      <c r="G36" s="12"/>
      <c r="H36" s="12"/>
      <c r="I36" s="12"/>
      <c r="J36" s="12"/>
      <c r="K36" s="12"/>
      <c r="L36" s="12"/>
      <c r="M36" s="11"/>
      <c r="Q36" s="1" t="s">
        <v>97</v>
      </c>
    </row>
    <row r="37" spans="1:17" ht="30" customHeight="1" x14ac:dyDescent="0.3">
      <c r="A37" s="11"/>
      <c r="B37" s="11"/>
      <c r="C37" s="11"/>
      <c r="D37" s="11"/>
      <c r="E37" s="12"/>
      <c r="F37" s="12"/>
      <c r="G37" s="12"/>
      <c r="H37" s="12"/>
      <c r="I37" s="12"/>
      <c r="J37" s="12"/>
      <c r="K37" s="12"/>
      <c r="L37" s="12"/>
      <c r="M37" s="11"/>
      <c r="Q37" s="1" t="s">
        <v>97</v>
      </c>
    </row>
    <row r="38" spans="1:17" ht="30" customHeight="1" x14ac:dyDescent="0.3">
      <c r="A38" s="11"/>
      <c r="B38" s="11"/>
      <c r="C38" s="11"/>
      <c r="D38" s="11"/>
      <c r="E38" s="12"/>
      <c r="F38" s="12"/>
      <c r="G38" s="12"/>
      <c r="H38" s="12"/>
      <c r="I38" s="12"/>
      <c r="J38" s="12"/>
      <c r="K38" s="12"/>
      <c r="L38" s="12"/>
      <c r="M38" s="11"/>
      <c r="Q38" s="1" t="s">
        <v>97</v>
      </c>
    </row>
    <row r="39" spans="1:17" ht="30" customHeight="1" x14ac:dyDescent="0.3">
      <c r="A39" s="11"/>
      <c r="B39" s="11"/>
      <c r="C39" s="11"/>
      <c r="D39" s="11"/>
      <c r="E39" s="12"/>
      <c r="F39" s="12"/>
      <c r="G39" s="12"/>
      <c r="H39" s="12"/>
      <c r="I39" s="12"/>
      <c r="J39" s="12"/>
      <c r="K39" s="12"/>
      <c r="L39" s="12"/>
      <c r="M39" s="11"/>
      <c r="Q39" s="1" t="s">
        <v>97</v>
      </c>
    </row>
    <row r="40" spans="1:17" ht="30" customHeight="1" x14ac:dyDescent="0.3">
      <c r="A40" s="11"/>
      <c r="B40" s="11"/>
      <c r="C40" s="11"/>
      <c r="D40" s="11"/>
      <c r="E40" s="12"/>
      <c r="F40" s="12"/>
      <c r="G40" s="12"/>
      <c r="H40" s="12"/>
      <c r="I40" s="12"/>
      <c r="J40" s="12"/>
      <c r="K40" s="12"/>
      <c r="L40" s="12"/>
      <c r="M40" s="11"/>
      <c r="Q40" s="1" t="s">
        <v>97</v>
      </c>
    </row>
    <row r="41" spans="1:17" ht="30" customHeight="1" x14ac:dyDescent="0.3">
      <c r="A41" s="11"/>
      <c r="B41" s="11"/>
      <c r="C41" s="11"/>
      <c r="D41" s="11"/>
      <c r="E41" s="12"/>
      <c r="F41" s="12"/>
      <c r="G41" s="12"/>
      <c r="H41" s="12"/>
      <c r="I41" s="12"/>
      <c r="J41" s="12"/>
      <c r="K41" s="12"/>
      <c r="L41" s="12"/>
      <c r="M41" s="11"/>
      <c r="Q41" s="1" t="s">
        <v>97</v>
      </c>
    </row>
    <row r="42" spans="1:17" ht="30" customHeight="1" x14ac:dyDescent="0.3">
      <c r="A42" s="11"/>
      <c r="B42" s="11"/>
      <c r="C42" s="11"/>
      <c r="D42" s="11"/>
      <c r="E42" s="12"/>
      <c r="F42" s="12"/>
      <c r="G42" s="12"/>
      <c r="H42" s="12"/>
      <c r="I42" s="12"/>
      <c r="J42" s="12"/>
      <c r="K42" s="12"/>
      <c r="L42" s="12"/>
      <c r="M42" s="11"/>
      <c r="Q42" s="1" t="s">
        <v>97</v>
      </c>
    </row>
    <row r="43" spans="1:17" ht="30" customHeight="1" x14ac:dyDescent="0.3">
      <c r="A43" s="11"/>
      <c r="B43" s="11"/>
      <c r="C43" s="11"/>
      <c r="D43" s="11"/>
      <c r="E43" s="12"/>
      <c r="F43" s="12"/>
      <c r="G43" s="12"/>
      <c r="H43" s="12"/>
      <c r="I43" s="12"/>
      <c r="J43" s="12"/>
      <c r="K43" s="12"/>
      <c r="L43" s="12"/>
      <c r="M43" s="11"/>
      <c r="Q43" s="1" t="s">
        <v>97</v>
      </c>
    </row>
    <row r="44" spans="1:17" ht="30" customHeight="1" x14ac:dyDescent="0.3">
      <c r="A44" s="11"/>
      <c r="B44" s="11"/>
      <c r="C44" s="11"/>
      <c r="D44" s="11"/>
      <c r="E44" s="12"/>
      <c r="F44" s="12"/>
      <c r="G44" s="12"/>
      <c r="H44" s="12"/>
      <c r="I44" s="12"/>
      <c r="J44" s="12"/>
      <c r="K44" s="12"/>
      <c r="L44" s="12"/>
      <c r="M44" s="11"/>
      <c r="Q44" s="1" t="s">
        <v>97</v>
      </c>
    </row>
    <row r="45" spans="1:17" ht="30" customHeight="1" x14ac:dyDescent="0.3">
      <c r="A45" s="11"/>
      <c r="B45" s="11"/>
      <c r="C45" s="11"/>
      <c r="D45" s="11"/>
      <c r="E45" s="12"/>
      <c r="F45" s="12"/>
      <c r="G45" s="12"/>
      <c r="H45" s="12"/>
      <c r="I45" s="12"/>
      <c r="J45" s="12"/>
      <c r="K45" s="12"/>
      <c r="L45" s="12"/>
      <c r="M45" s="11"/>
      <c r="Q45" s="1" t="s">
        <v>97</v>
      </c>
    </row>
    <row r="46" spans="1:17" ht="30" customHeight="1" x14ac:dyDescent="0.3">
      <c r="A46" s="11"/>
      <c r="B46" s="11"/>
      <c r="C46" s="11"/>
      <c r="D46" s="11"/>
      <c r="E46" s="12"/>
      <c r="F46" s="12"/>
      <c r="G46" s="12"/>
      <c r="H46" s="12"/>
      <c r="I46" s="12"/>
      <c r="J46" s="12"/>
      <c r="K46" s="12"/>
      <c r="L46" s="12"/>
      <c r="M46" s="11"/>
      <c r="Q46" s="1" t="s">
        <v>97</v>
      </c>
    </row>
    <row r="47" spans="1:17" ht="30" customHeight="1" x14ac:dyDescent="0.3">
      <c r="A47" s="11"/>
      <c r="B47" s="11"/>
      <c r="C47" s="11"/>
      <c r="D47" s="11"/>
      <c r="E47" s="12"/>
      <c r="F47" s="12"/>
      <c r="G47" s="12"/>
      <c r="H47" s="12"/>
      <c r="I47" s="12"/>
      <c r="J47" s="12"/>
      <c r="K47" s="12"/>
      <c r="L47" s="12"/>
      <c r="M47" s="11"/>
      <c r="Q47" s="1" t="s">
        <v>97</v>
      </c>
    </row>
    <row r="48" spans="1:17" ht="30" customHeight="1" x14ac:dyDescent="0.3">
      <c r="A48" s="11"/>
      <c r="B48" s="11"/>
      <c r="C48" s="11"/>
      <c r="D48" s="11"/>
      <c r="E48" s="12"/>
      <c r="F48" s="12"/>
      <c r="G48" s="12"/>
      <c r="H48" s="12"/>
      <c r="I48" s="12"/>
      <c r="J48" s="12"/>
      <c r="K48" s="12"/>
      <c r="L48" s="12"/>
      <c r="M48" s="11"/>
      <c r="Q48" s="1" t="s">
        <v>97</v>
      </c>
    </row>
    <row r="49" spans="1:48" ht="30" customHeight="1" x14ac:dyDescent="0.3">
      <c r="A49" s="11"/>
      <c r="B49" s="11"/>
      <c r="C49" s="11"/>
      <c r="D49" s="11"/>
      <c r="E49" s="12"/>
      <c r="F49" s="12"/>
      <c r="G49" s="12"/>
      <c r="H49" s="12"/>
      <c r="I49" s="12"/>
      <c r="J49" s="12"/>
      <c r="K49" s="12"/>
      <c r="L49" s="12"/>
      <c r="M49" s="11"/>
      <c r="Q49" s="1" t="s">
        <v>97</v>
      </c>
    </row>
    <row r="50" spans="1:48" ht="30" customHeight="1" x14ac:dyDescent="0.3">
      <c r="A50" s="11"/>
      <c r="B50" s="11"/>
      <c r="C50" s="11"/>
      <c r="D50" s="11"/>
      <c r="E50" s="12"/>
      <c r="F50" s="12"/>
      <c r="G50" s="12"/>
      <c r="H50" s="12"/>
      <c r="I50" s="12"/>
      <c r="J50" s="12"/>
      <c r="K50" s="12"/>
      <c r="L50" s="12"/>
      <c r="M50" s="11"/>
      <c r="Q50" s="1" t="s">
        <v>97</v>
      </c>
    </row>
    <row r="51" spans="1:48" ht="30" customHeight="1" x14ac:dyDescent="0.3">
      <c r="A51" s="13" t="s">
        <v>94</v>
      </c>
      <c r="B51" s="11"/>
      <c r="C51" s="11"/>
      <c r="D51" s="11"/>
      <c r="E51" s="12"/>
      <c r="F51" s="12" t="e">
        <f>SUMIF(Q29:Q50,"0102",F29:F50)</f>
        <v>#REF!</v>
      </c>
      <c r="G51" s="12"/>
      <c r="H51" s="12" t="e">
        <f>SUMIF(Q29:Q50,"0102",H29:H50)</f>
        <v>#REF!</v>
      </c>
      <c r="I51" s="12"/>
      <c r="J51" s="12" t="e">
        <f>SUMIF(Q29:Q50,"0102",J29:J50)</f>
        <v>#REF!</v>
      </c>
      <c r="K51" s="12"/>
      <c r="L51" s="12" t="e">
        <f>SUMIF(Q29:Q50,"0102",L29:L50)</f>
        <v>#REF!</v>
      </c>
      <c r="M51" s="11"/>
      <c r="N51" t="s">
        <v>95</v>
      </c>
    </row>
    <row r="52" spans="1:48" ht="30" customHeight="1" x14ac:dyDescent="0.3">
      <c r="A52" s="13" t="s">
        <v>107</v>
      </c>
      <c r="B52" s="13" t="s">
        <v>51</v>
      </c>
      <c r="C52" s="11"/>
      <c r="D52" s="11"/>
      <c r="E52" s="12"/>
      <c r="F52" s="12"/>
      <c r="G52" s="12"/>
      <c r="H52" s="12"/>
      <c r="I52" s="12"/>
      <c r="J52" s="12"/>
      <c r="K52" s="12"/>
      <c r="L52" s="12"/>
      <c r="M52" s="11"/>
      <c r="Q52" s="1" t="s">
        <v>108</v>
      </c>
    </row>
    <row r="53" spans="1:48" ht="30" customHeight="1" x14ac:dyDescent="0.3">
      <c r="A53" s="13" t="s">
        <v>109</v>
      </c>
      <c r="B53" s="13" t="s">
        <v>110</v>
      </c>
      <c r="C53" s="13" t="s">
        <v>57</v>
      </c>
      <c r="D53" s="11">
        <v>333</v>
      </c>
      <c r="E53" s="12" t="e">
        <f>TRUNC(#REF!,0)</f>
        <v>#REF!</v>
      </c>
      <c r="F53" s="12" t="e">
        <f t="shared" ref="F53:F60" si="0">TRUNC(E53*D53, 0)</f>
        <v>#REF!</v>
      </c>
      <c r="G53" s="12" t="e">
        <f>TRUNC(#REF!,0)</f>
        <v>#REF!</v>
      </c>
      <c r="H53" s="12" t="e">
        <f t="shared" ref="H53:H60" si="1">TRUNC(G53*D53, 0)</f>
        <v>#REF!</v>
      </c>
      <c r="I53" s="12" t="e">
        <f>TRUNC(#REF!,0)</f>
        <v>#REF!</v>
      </c>
      <c r="J53" s="12" t="e">
        <f t="shared" ref="J53:J60" si="2">TRUNC(I53*D53, 0)</f>
        <v>#REF!</v>
      </c>
      <c r="K53" s="12" t="e">
        <f t="shared" ref="K53:L60" si="3">TRUNC(E53+G53+I53, 0)</f>
        <v>#REF!</v>
      </c>
      <c r="L53" s="12" t="e">
        <f t="shared" si="3"/>
        <v>#REF!</v>
      </c>
      <c r="M53" s="13" t="s">
        <v>111</v>
      </c>
      <c r="N53" s="1" t="s">
        <v>112</v>
      </c>
      <c r="O53" s="1" t="s">
        <v>51</v>
      </c>
      <c r="P53" s="1" t="s">
        <v>51</v>
      </c>
      <c r="Q53" s="1" t="s">
        <v>108</v>
      </c>
      <c r="R53" s="1" t="s">
        <v>59</v>
      </c>
      <c r="S53" s="1" t="s">
        <v>60</v>
      </c>
      <c r="T53" s="1" t="s">
        <v>60</v>
      </c>
      <c r="AR53" s="1" t="s">
        <v>51</v>
      </c>
      <c r="AS53" s="1" t="s">
        <v>51</v>
      </c>
      <c r="AU53" s="1" t="s">
        <v>113</v>
      </c>
      <c r="AV53">
        <v>15</v>
      </c>
    </row>
    <row r="54" spans="1:48" ht="30" customHeight="1" x14ac:dyDescent="0.3">
      <c r="A54" s="13" t="s">
        <v>114</v>
      </c>
      <c r="B54" s="13" t="s">
        <v>115</v>
      </c>
      <c r="C54" s="13" t="s">
        <v>81</v>
      </c>
      <c r="D54" s="11">
        <v>54</v>
      </c>
      <c r="E54" s="12" t="e">
        <f>TRUNC(#REF!,0)</f>
        <v>#REF!</v>
      </c>
      <c r="F54" s="12" t="e">
        <f t="shared" si="0"/>
        <v>#REF!</v>
      </c>
      <c r="G54" s="12" t="e">
        <f>TRUNC(#REF!,0)</f>
        <v>#REF!</v>
      </c>
      <c r="H54" s="12" t="e">
        <f t="shared" si="1"/>
        <v>#REF!</v>
      </c>
      <c r="I54" s="12" t="e">
        <f>TRUNC(#REF!,0)</f>
        <v>#REF!</v>
      </c>
      <c r="J54" s="12" t="e">
        <f t="shared" si="2"/>
        <v>#REF!</v>
      </c>
      <c r="K54" s="12" t="e">
        <f t="shared" si="3"/>
        <v>#REF!</v>
      </c>
      <c r="L54" s="12" t="e">
        <f t="shared" si="3"/>
        <v>#REF!</v>
      </c>
      <c r="M54" s="13" t="s">
        <v>116</v>
      </c>
      <c r="N54" s="1" t="s">
        <v>117</v>
      </c>
      <c r="O54" s="1" t="s">
        <v>51</v>
      </c>
      <c r="P54" s="1" t="s">
        <v>51</v>
      </c>
      <c r="Q54" s="1" t="s">
        <v>108</v>
      </c>
      <c r="R54" s="1" t="s">
        <v>59</v>
      </c>
      <c r="S54" s="1" t="s">
        <v>60</v>
      </c>
      <c r="T54" s="1" t="s">
        <v>60</v>
      </c>
      <c r="AR54" s="1" t="s">
        <v>51</v>
      </c>
      <c r="AS54" s="1" t="s">
        <v>51</v>
      </c>
      <c r="AU54" s="1" t="s">
        <v>118</v>
      </c>
      <c r="AV54">
        <v>16</v>
      </c>
    </row>
    <row r="55" spans="1:48" ht="30" customHeight="1" x14ac:dyDescent="0.3">
      <c r="A55" s="13" t="s">
        <v>119</v>
      </c>
      <c r="B55" s="13" t="s">
        <v>120</v>
      </c>
      <c r="C55" s="13" t="s">
        <v>81</v>
      </c>
      <c r="D55" s="11">
        <v>5</v>
      </c>
      <c r="E55" s="12" t="e">
        <f>TRUNC(#REF!,0)</f>
        <v>#REF!</v>
      </c>
      <c r="F55" s="12" t="e">
        <f t="shared" si="0"/>
        <v>#REF!</v>
      </c>
      <c r="G55" s="12" t="e">
        <f>TRUNC(#REF!,0)</f>
        <v>#REF!</v>
      </c>
      <c r="H55" s="12" t="e">
        <f t="shared" si="1"/>
        <v>#REF!</v>
      </c>
      <c r="I55" s="12" t="e">
        <f>TRUNC(#REF!,0)</f>
        <v>#REF!</v>
      </c>
      <c r="J55" s="12" t="e">
        <f t="shared" si="2"/>
        <v>#REF!</v>
      </c>
      <c r="K55" s="12" t="e">
        <f t="shared" si="3"/>
        <v>#REF!</v>
      </c>
      <c r="L55" s="12" t="e">
        <f t="shared" si="3"/>
        <v>#REF!</v>
      </c>
      <c r="M55" s="13" t="s">
        <v>121</v>
      </c>
      <c r="N55" s="1" t="s">
        <v>122</v>
      </c>
      <c r="O55" s="1" t="s">
        <v>51</v>
      </c>
      <c r="P55" s="1" t="s">
        <v>51</v>
      </c>
      <c r="Q55" s="1" t="s">
        <v>108</v>
      </c>
      <c r="R55" s="1" t="s">
        <v>59</v>
      </c>
      <c r="S55" s="1" t="s">
        <v>60</v>
      </c>
      <c r="T55" s="1" t="s">
        <v>60</v>
      </c>
      <c r="AR55" s="1" t="s">
        <v>51</v>
      </c>
      <c r="AS55" s="1" t="s">
        <v>51</v>
      </c>
      <c r="AU55" s="1" t="s">
        <v>123</v>
      </c>
      <c r="AV55">
        <v>56</v>
      </c>
    </row>
    <row r="56" spans="1:48" ht="30" customHeight="1" x14ac:dyDescent="0.3">
      <c r="A56" s="13" t="s">
        <v>124</v>
      </c>
      <c r="B56" s="13" t="s">
        <v>125</v>
      </c>
      <c r="C56" s="13" t="s">
        <v>81</v>
      </c>
      <c r="D56" s="11">
        <v>54</v>
      </c>
      <c r="E56" s="12" t="e">
        <f>TRUNC(#REF!,0)</f>
        <v>#REF!</v>
      </c>
      <c r="F56" s="12" t="e">
        <f t="shared" si="0"/>
        <v>#REF!</v>
      </c>
      <c r="G56" s="12" t="e">
        <f>TRUNC(#REF!,0)</f>
        <v>#REF!</v>
      </c>
      <c r="H56" s="12" t="e">
        <f t="shared" si="1"/>
        <v>#REF!</v>
      </c>
      <c r="I56" s="12" t="e">
        <f>TRUNC(#REF!,0)</f>
        <v>#REF!</v>
      </c>
      <c r="J56" s="12" t="e">
        <f t="shared" si="2"/>
        <v>#REF!</v>
      </c>
      <c r="K56" s="12" t="e">
        <f t="shared" si="3"/>
        <v>#REF!</v>
      </c>
      <c r="L56" s="12" t="e">
        <f t="shared" si="3"/>
        <v>#REF!</v>
      </c>
      <c r="M56" s="13" t="s">
        <v>126</v>
      </c>
      <c r="N56" s="1" t="s">
        <v>127</v>
      </c>
      <c r="O56" s="1" t="s">
        <v>51</v>
      </c>
      <c r="P56" s="1" t="s">
        <v>51</v>
      </c>
      <c r="Q56" s="1" t="s">
        <v>108</v>
      </c>
      <c r="R56" s="1" t="s">
        <v>59</v>
      </c>
      <c r="S56" s="1" t="s">
        <v>60</v>
      </c>
      <c r="T56" s="1" t="s">
        <v>60</v>
      </c>
      <c r="AR56" s="1" t="s">
        <v>51</v>
      </c>
      <c r="AS56" s="1" t="s">
        <v>51</v>
      </c>
      <c r="AU56" s="1" t="s">
        <v>128</v>
      </c>
      <c r="AV56">
        <v>17</v>
      </c>
    </row>
    <row r="57" spans="1:48" ht="30" customHeight="1" x14ac:dyDescent="0.3">
      <c r="A57" s="13" t="s">
        <v>124</v>
      </c>
      <c r="B57" s="13" t="s">
        <v>129</v>
      </c>
      <c r="C57" s="13" t="s">
        <v>81</v>
      </c>
      <c r="D57" s="11">
        <v>54</v>
      </c>
      <c r="E57" s="12" t="e">
        <f>TRUNC(#REF!,0)</f>
        <v>#REF!</v>
      </c>
      <c r="F57" s="12" t="e">
        <f t="shared" si="0"/>
        <v>#REF!</v>
      </c>
      <c r="G57" s="12" t="e">
        <f>TRUNC(#REF!,0)</f>
        <v>#REF!</v>
      </c>
      <c r="H57" s="12" t="e">
        <f t="shared" si="1"/>
        <v>#REF!</v>
      </c>
      <c r="I57" s="12" t="e">
        <f>TRUNC(#REF!,0)</f>
        <v>#REF!</v>
      </c>
      <c r="J57" s="12" t="e">
        <f t="shared" si="2"/>
        <v>#REF!</v>
      </c>
      <c r="K57" s="12" t="e">
        <f t="shared" si="3"/>
        <v>#REF!</v>
      </c>
      <c r="L57" s="12" t="e">
        <f t="shared" si="3"/>
        <v>#REF!</v>
      </c>
      <c r="M57" s="13" t="s">
        <v>51</v>
      </c>
      <c r="N57" s="1" t="s">
        <v>130</v>
      </c>
      <c r="O57" s="1" t="s">
        <v>51</v>
      </c>
      <c r="P57" s="1" t="s">
        <v>51</v>
      </c>
      <c r="Q57" s="1" t="s">
        <v>108</v>
      </c>
      <c r="R57" s="1" t="s">
        <v>60</v>
      </c>
      <c r="S57" s="1" t="s">
        <v>60</v>
      </c>
      <c r="T57" s="1" t="s">
        <v>59</v>
      </c>
      <c r="AR57" s="1" t="s">
        <v>51</v>
      </c>
      <c r="AS57" s="1" t="s">
        <v>51</v>
      </c>
      <c r="AU57" s="1" t="s">
        <v>131</v>
      </c>
      <c r="AV57">
        <v>18</v>
      </c>
    </row>
    <row r="58" spans="1:48" ht="30" customHeight="1" x14ac:dyDescent="0.3">
      <c r="A58" s="13" t="s">
        <v>124</v>
      </c>
      <c r="B58" s="13" t="s">
        <v>132</v>
      </c>
      <c r="C58" s="13" t="s">
        <v>81</v>
      </c>
      <c r="D58" s="11">
        <v>5</v>
      </c>
      <c r="E58" s="12" t="e">
        <f>TRUNC(#REF!,0)</f>
        <v>#REF!</v>
      </c>
      <c r="F58" s="12" t="e">
        <f t="shared" si="0"/>
        <v>#REF!</v>
      </c>
      <c r="G58" s="12" t="e">
        <f>TRUNC(#REF!,0)</f>
        <v>#REF!</v>
      </c>
      <c r="H58" s="12" t="e">
        <f t="shared" si="1"/>
        <v>#REF!</v>
      </c>
      <c r="I58" s="12" t="e">
        <f>TRUNC(#REF!,0)</f>
        <v>#REF!</v>
      </c>
      <c r="J58" s="12" t="e">
        <f t="shared" si="2"/>
        <v>#REF!</v>
      </c>
      <c r="K58" s="12" t="e">
        <f t="shared" si="3"/>
        <v>#REF!</v>
      </c>
      <c r="L58" s="12" t="e">
        <f t="shared" si="3"/>
        <v>#REF!</v>
      </c>
      <c r="M58" s="13" t="s">
        <v>51</v>
      </c>
      <c r="N58" s="1" t="s">
        <v>133</v>
      </c>
      <c r="O58" s="1" t="s">
        <v>51</v>
      </c>
      <c r="P58" s="1" t="s">
        <v>51</v>
      </c>
      <c r="Q58" s="1" t="s">
        <v>108</v>
      </c>
      <c r="R58" s="1" t="s">
        <v>60</v>
      </c>
      <c r="S58" s="1" t="s">
        <v>60</v>
      </c>
      <c r="T58" s="1" t="s">
        <v>59</v>
      </c>
      <c r="AR58" s="1" t="s">
        <v>51</v>
      </c>
      <c r="AS58" s="1" t="s">
        <v>51</v>
      </c>
      <c r="AU58" s="1" t="s">
        <v>134</v>
      </c>
      <c r="AV58">
        <v>57</v>
      </c>
    </row>
    <row r="59" spans="1:48" ht="30" customHeight="1" x14ac:dyDescent="0.3">
      <c r="A59" s="13" t="s">
        <v>135</v>
      </c>
      <c r="B59" s="13" t="s">
        <v>136</v>
      </c>
      <c r="C59" s="13" t="s">
        <v>86</v>
      </c>
      <c r="D59" s="11">
        <v>111</v>
      </c>
      <c r="E59" s="12" t="e">
        <f>TRUNC(#REF!,0)</f>
        <v>#REF!</v>
      </c>
      <c r="F59" s="12" t="e">
        <f t="shared" si="0"/>
        <v>#REF!</v>
      </c>
      <c r="G59" s="12" t="e">
        <f>TRUNC(#REF!,0)</f>
        <v>#REF!</v>
      </c>
      <c r="H59" s="12" t="e">
        <f t="shared" si="1"/>
        <v>#REF!</v>
      </c>
      <c r="I59" s="12" t="e">
        <f>TRUNC(#REF!,0)</f>
        <v>#REF!</v>
      </c>
      <c r="J59" s="12" t="e">
        <f t="shared" si="2"/>
        <v>#REF!</v>
      </c>
      <c r="K59" s="12" t="e">
        <f t="shared" si="3"/>
        <v>#REF!</v>
      </c>
      <c r="L59" s="12" t="e">
        <f t="shared" si="3"/>
        <v>#REF!</v>
      </c>
      <c r="M59" s="13" t="s">
        <v>137</v>
      </c>
      <c r="N59" s="1" t="s">
        <v>138</v>
      </c>
      <c r="O59" s="1" t="s">
        <v>51</v>
      </c>
      <c r="P59" s="1" t="s">
        <v>51</v>
      </c>
      <c r="Q59" s="1" t="s">
        <v>108</v>
      </c>
      <c r="R59" s="1" t="s">
        <v>59</v>
      </c>
      <c r="S59" s="1" t="s">
        <v>60</v>
      </c>
      <c r="T59" s="1" t="s">
        <v>60</v>
      </c>
      <c r="AR59" s="1" t="s">
        <v>51</v>
      </c>
      <c r="AS59" s="1" t="s">
        <v>51</v>
      </c>
      <c r="AU59" s="1" t="s">
        <v>139</v>
      </c>
      <c r="AV59">
        <v>19</v>
      </c>
    </row>
    <row r="60" spans="1:48" ht="30" customHeight="1" x14ac:dyDescent="0.3">
      <c r="A60" s="13" t="s">
        <v>140</v>
      </c>
      <c r="B60" s="13" t="s">
        <v>141</v>
      </c>
      <c r="C60" s="13" t="s">
        <v>142</v>
      </c>
      <c r="D60" s="11">
        <v>2</v>
      </c>
      <c r="E60" s="12" t="e">
        <f>TRUNC(#REF!,0)</f>
        <v>#REF!</v>
      </c>
      <c r="F60" s="12" t="e">
        <f t="shared" si="0"/>
        <v>#REF!</v>
      </c>
      <c r="G60" s="12" t="e">
        <f>TRUNC(#REF!,0)</f>
        <v>#REF!</v>
      </c>
      <c r="H60" s="12" t="e">
        <f t="shared" si="1"/>
        <v>#REF!</v>
      </c>
      <c r="I60" s="12" t="e">
        <f>TRUNC(#REF!,0)</f>
        <v>#REF!</v>
      </c>
      <c r="J60" s="12" t="e">
        <f t="shared" si="2"/>
        <v>#REF!</v>
      </c>
      <c r="K60" s="12" t="e">
        <f t="shared" si="3"/>
        <v>#REF!</v>
      </c>
      <c r="L60" s="12" t="e">
        <f t="shared" si="3"/>
        <v>#REF!</v>
      </c>
      <c r="M60" s="13" t="s">
        <v>143</v>
      </c>
      <c r="N60" s="1" t="s">
        <v>144</v>
      </c>
      <c r="O60" s="1" t="s">
        <v>51</v>
      </c>
      <c r="P60" s="1" t="s">
        <v>51</v>
      </c>
      <c r="Q60" s="1" t="s">
        <v>108</v>
      </c>
      <c r="R60" s="1" t="s">
        <v>59</v>
      </c>
      <c r="S60" s="1" t="s">
        <v>60</v>
      </c>
      <c r="T60" s="1" t="s">
        <v>60</v>
      </c>
      <c r="AR60" s="1" t="s">
        <v>51</v>
      </c>
      <c r="AS60" s="1" t="s">
        <v>51</v>
      </c>
      <c r="AU60" s="1" t="s">
        <v>145</v>
      </c>
      <c r="AV60">
        <v>20</v>
      </c>
    </row>
    <row r="61" spans="1:48" ht="30" customHeight="1" x14ac:dyDescent="0.3">
      <c r="A61" s="11"/>
      <c r="B61" s="11"/>
      <c r="C61" s="11"/>
      <c r="D61" s="11"/>
      <c r="E61" s="12"/>
      <c r="F61" s="12"/>
      <c r="G61" s="12"/>
      <c r="H61" s="12"/>
      <c r="I61" s="12"/>
      <c r="J61" s="12"/>
      <c r="K61" s="12"/>
      <c r="L61" s="12"/>
      <c r="M61" s="11"/>
      <c r="Q61" s="1" t="s">
        <v>108</v>
      </c>
    </row>
    <row r="62" spans="1:48" ht="30" customHeight="1" x14ac:dyDescent="0.3">
      <c r="A62" s="11"/>
      <c r="B62" s="11"/>
      <c r="C62" s="11"/>
      <c r="D62" s="11"/>
      <c r="E62" s="12"/>
      <c r="F62" s="12"/>
      <c r="G62" s="12"/>
      <c r="H62" s="12"/>
      <c r="I62" s="12"/>
      <c r="J62" s="12"/>
      <c r="K62" s="12"/>
      <c r="L62" s="12"/>
      <c r="M62" s="11"/>
      <c r="Q62" s="1" t="s">
        <v>108</v>
      </c>
    </row>
    <row r="63" spans="1:48" ht="30" customHeight="1" x14ac:dyDescent="0.3">
      <c r="A63" s="11"/>
      <c r="B63" s="11"/>
      <c r="C63" s="11"/>
      <c r="D63" s="11"/>
      <c r="E63" s="12"/>
      <c r="F63" s="12"/>
      <c r="G63" s="12"/>
      <c r="H63" s="12"/>
      <c r="I63" s="12"/>
      <c r="J63" s="12"/>
      <c r="K63" s="12"/>
      <c r="L63" s="12"/>
      <c r="M63" s="11"/>
      <c r="Q63" s="1" t="s">
        <v>108</v>
      </c>
    </row>
    <row r="64" spans="1:48" ht="30" customHeight="1" x14ac:dyDescent="0.3">
      <c r="A64" s="11"/>
      <c r="B64" s="11"/>
      <c r="C64" s="11"/>
      <c r="D64" s="11"/>
      <c r="E64" s="12"/>
      <c r="F64" s="12"/>
      <c r="G64" s="12"/>
      <c r="H64" s="12"/>
      <c r="I64" s="12"/>
      <c r="J64" s="12"/>
      <c r="K64" s="12"/>
      <c r="L64" s="12"/>
      <c r="M64" s="11"/>
      <c r="Q64" s="1" t="s">
        <v>108</v>
      </c>
    </row>
    <row r="65" spans="1:48" ht="30" customHeight="1" x14ac:dyDescent="0.3">
      <c r="A65" s="11"/>
      <c r="B65" s="11"/>
      <c r="C65" s="11"/>
      <c r="D65" s="11"/>
      <c r="E65" s="12"/>
      <c r="F65" s="12"/>
      <c r="G65" s="12"/>
      <c r="H65" s="12"/>
      <c r="I65" s="12"/>
      <c r="J65" s="12"/>
      <c r="K65" s="12"/>
      <c r="L65" s="12"/>
      <c r="M65" s="11"/>
      <c r="Q65" s="1" t="s">
        <v>108</v>
      </c>
    </row>
    <row r="66" spans="1:48" ht="30" customHeight="1" x14ac:dyDescent="0.3">
      <c r="A66" s="11"/>
      <c r="B66" s="11"/>
      <c r="C66" s="11"/>
      <c r="D66" s="11"/>
      <c r="E66" s="12"/>
      <c r="F66" s="12"/>
      <c r="G66" s="12"/>
      <c r="H66" s="12"/>
      <c r="I66" s="12"/>
      <c r="J66" s="12"/>
      <c r="K66" s="12"/>
      <c r="L66" s="12"/>
      <c r="M66" s="11"/>
      <c r="Q66" s="1" t="s">
        <v>108</v>
      </c>
    </row>
    <row r="67" spans="1:48" ht="30" customHeight="1" x14ac:dyDescent="0.3">
      <c r="A67" s="11"/>
      <c r="B67" s="11"/>
      <c r="C67" s="11"/>
      <c r="D67" s="11"/>
      <c r="E67" s="12"/>
      <c r="F67" s="12"/>
      <c r="G67" s="12"/>
      <c r="H67" s="12"/>
      <c r="I67" s="12"/>
      <c r="J67" s="12"/>
      <c r="K67" s="12"/>
      <c r="L67" s="12"/>
      <c r="M67" s="11"/>
      <c r="Q67" s="1" t="s">
        <v>108</v>
      </c>
    </row>
    <row r="68" spans="1:48" ht="30" customHeight="1" x14ac:dyDescent="0.3">
      <c r="A68" s="11"/>
      <c r="B68" s="11"/>
      <c r="C68" s="11"/>
      <c r="D68" s="11"/>
      <c r="E68" s="12"/>
      <c r="F68" s="12"/>
      <c r="G68" s="12"/>
      <c r="H68" s="12"/>
      <c r="I68" s="12"/>
      <c r="J68" s="12"/>
      <c r="K68" s="12"/>
      <c r="L68" s="12"/>
      <c r="M68" s="11"/>
      <c r="Q68" s="1" t="s">
        <v>108</v>
      </c>
    </row>
    <row r="69" spans="1:48" ht="30" customHeight="1" x14ac:dyDescent="0.3">
      <c r="A69" s="11"/>
      <c r="B69" s="11"/>
      <c r="C69" s="11"/>
      <c r="D69" s="11"/>
      <c r="E69" s="12"/>
      <c r="F69" s="12"/>
      <c r="G69" s="12"/>
      <c r="H69" s="12"/>
      <c r="I69" s="12"/>
      <c r="J69" s="12"/>
      <c r="K69" s="12"/>
      <c r="L69" s="12"/>
      <c r="M69" s="11"/>
      <c r="Q69" s="1" t="s">
        <v>108</v>
      </c>
    </row>
    <row r="70" spans="1:48" ht="30" customHeight="1" x14ac:dyDescent="0.3">
      <c r="A70" s="11"/>
      <c r="B70" s="11"/>
      <c r="C70" s="11"/>
      <c r="D70" s="11"/>
      <c r="E70" s="12"/>
      <c r="F70" s="12"/>
      <c r="G70" s="12"/>
      <c r="H70" s="12"/>
      <c r="I70" s="12"/>
      <c r="J70" s="12"/>
      <c r="K70" s="12"/>
      <c r="L70" s="12"/>
      <c r="M70" s="11"/>
      <c r="Q70" s="1" t="s">
        <v>108</v>
      </c>
    </row>
    <row r="71" spans="1:48" ht="30" customHeight="1" x14ac:dyDescent="0.3">
      <c r="A71" s="11"/>
      <c r="B71" s="11"/>
      <c r="C71" s="11"/>
      <c r="D71" s="11"/>
      <c r="E71" s="12"/>
      <c r="F71" s="12"/>
      <c r="G71" s="12"/>
      <c r="H71" s="12"/>
      <c r="I71" s="12"/>
      <c r="J71" s="12"/>
      <c r="K71" s="12"/>
      <c r="L71" s="12"/>
      <c r="M71" s="11"/>
      <c r="Q71" s="1" t="s">
        <v>108</v>
      </c>
    </row>
    <row r="72" spans="1:48" ht="30" customHeight="1" x14ac:dyDescent="0.3">
      <c r="A72" s="11"/>
      <c r="B72" s="11"/>
      <c r="C72" s="11"/>
      <c r="D72" s="11"/>
      <c r="E72" s="12"/>
      <c r="F72" s="12"/>
      <c r="G72" s="12"/>
      <c r="H72" s="12"/>
      <c r="I72" s="12"/>
      <c r="J72" s="12"/>
      <c r="K72" s="12"/>
      <c r="L72" s="12"/>
      <c r="M72" s="11"/>
      <c r="Q72" s="1" t="s">
        <v>108</v>
      </c>
    </row>
    <row r="73" spans="1:48" ht="30" customHeight="1" x14ac:dyDescent="0.3">
      <c r="A73" s="11"/>
      <c r="B73" s="11"/>
      <c r="C73" s="11"/>
      <c r="D73" s="11"/>
      <c r="E73" s="12"/>
      <c r="F73" s="12"/>
      <c r="G73" s="12"/>
      <c r="H73" s="12"/>
      <c r="I73" s="12"/>
      <c r="J73" s="12"/>
      <c r="K73" s="12"/>
      <c r="L73" s="12"/>
      <c r="M73" s="11"/>
      <c r="Q73" s="1" t="s">
        <v>108</v>
      </c>
    </row>
    <row r="74" spans="1:48" ht="30" customHeight="1" x14ac:dyDescent="0.3">
      <c r="A74" s="11"/>
      <c r="B74" s="11"/>
      <c r="C74" s="11"/>
      <c r="D74" s="11"/>
      <c r="E74" s="12"/>
      <c r="F74" s="12"/>
      <c r="G74" s="12"/>
      <c r="H74" s="12"/>
      <c r="I74" s="12"/>
      <c r="J74" s="12"/>
      <c r="K74" s="12"/>
      <c r="L74" s="12"/>
      <c r="M74" s="11"/>
      <c r="Q74" s="1" t="s">
        <v>108</v>
      </c>
    </row>
    <row r="75" spans="1:48" ht="30" customHeight="1" x14ac:dyDescent="0.3">
      <c r="A75" s="13" t="s">
        <v>94</v>
      </c>
      <c r="B75" s="11"/>
      <c r="C75" s="11"/>
      <c r="D75" s="11"/>
      <c r="E75" s="12"/>
      <c r="F75" s="12" t="e">
        <f>SUMIF(Q53:Q74,"0103",F53:F74)</f>
        <v>#REF!</v>
      </c>
      <c r="G75" s="12"/>
      <c r="H75" s="12" t="e">
        <f>SUMIF(Q53:Q74,"0103",H53:H74)</f>
        <v>#REF!</v>
      </c>
      <c r="I75" s="12"/>
      <c r="J75" s="12" t="e">
        <f>SUMIF(Q53:Q74,"0103",J53:J74)</f>
        <v>#REF!</v>
      </c>
      <c r="K75" s="12"/>
      <c r="L75" s="12" t="e">
        <f>SUMIF(Q53:Q74,"0103",L53:L74)</f>
        <v>#REF!</v>
      </c>
      <c r="M75" s="11"/>
      <c r="N75" t="s">
        <v>95</v>
      </c>
    </row>
    <row r="76" spans="1:48" ht="30" customHeight="1" x14ac:dyDescent="0.3">
      <c r="A76" s="13" t="s">
        <v>146</v>
      </c>
      <c r="B76" s="13" t="s">
        <v>51</v>
      </c>
      <c r="C76" s="11"/>
      <c r="D76" s="11"/>
      <c r="E76" s="12"/>
      <c r="F76" s="12"/>
      <c r="G76" s="12"/>
      <c r="H76" s="12"/>
      <c r="I76" s="12"/>
      <c r="J76" s="12"/>
      <c r="K76" s="12"/>
      <c r="L76" s="12"/>
      <c r="M76" s="11"/>
      <c r="Q76" s="1" t="s">
        <v>147</v>
      </c>
    </row>
    <row r="77" spans="1:48" ht="30" customHeight="1" x14ac:dyDescent="0.3">
      <c r="A77" s="13" t="s">
        <v>109</v>
      </c>
      <c r="B77" s="13" t="s">
        <v>148</v>
      </c>
      <c r="C77" s="13" t="s">
        <v>57</v>
      </c>
      <c r="D77" s="11">
        <v>243</v>
      </c>
      <c r="E77" s="12" t="e">
        <f>TRUNC(#REF!,0)</f>
        <v>#REF!</v>
      </c>
      <c r="F77" s="12" t="e">
        <f t="shared" ref="F77:F85" si="4">TRUNC(E77*D77, 0)</f>
        <v>#REF!</v>
      </c>
      <c r="G77" s="12" t="e">
        <f>TRUNC(#REF!,0)</f>
        <v>#REF!</v>
      </c>
      <c r="H77" s="12" t="e">
        <f t="shared" ref="H77:H85" si="5">TRUNC(G77*D77, 0)</f>
        <v>#REF!</v>
      </c>
      <c r="I77" s="12" t="e">
        <f>TRUNC(#REF!,0)</f>
        <v>#REF!</v>
      </c>
      <c r="J77" s="12" t="e">
        <f t="shared" ref="J77:J85" si="6">TRUNC(I77*D77, 0)</f>
        <v>#REF!</v>
      </c>
      <c r="K77" s="12" t="e">
        <f t="shared" ref="K77:K85" si="7">TRUNC(E77+G77+I77, 0)</f>
        <v>#REF!</v>
      </c>
      <c r="L77" s="12" t="e">
        <f t="shared" ref="L77:L85" si="8">TRUNC(F77+H77+J77, 0)</f>
        <v>#REF!</v>
      </c>
      <c r="M77" s="13" t="s">
        <v>149</v>
      </c>
      <c r="N77" s="1" t="s">
        <v>150</v>
      </c>
      <c r="O77" s="1" t="s">
        <v>51</v>
      </c>
      <c r="P77" s="1" t="s">
        <v>51</v>
      </c>
      <c r="Q77" s="1" t="s">
        <v>147</v>
      </c>
      <c r="R77" s="1" t="s">
        <v>59</v>
      </c>
      <c r="S77" s="1" t="s">
        <v>60</v>
      </c>
      <c r="T77" s="1" t="s">
        <v>60</v>
      </c>
      <c r="AR77" s="1" t="s">
        <v>51</v>
      </c>
      <c r="AS77" s="1" t="s">
        <v>51</v>
      </c>
      <c r="AU77" s="1" t="s">
        <v>151</v>
      </c>
      <c r="AV77">
        <v>42</v>
      </c>
    </row>
    <row r="78" spans="1:48" ht="30" customHeight="1" x14ac:dyDescent="0.3">
      <c r="A78" s="13" t="s">
        <v>119</v>
      </c>
      <c r="B78" s="13" t="s">
        <v>120</v>
      </c>
      <c r="C78" s="13" t="s">
        <v>81</v>
      </c>
      <c r="D78" s="11">
        <v>4</v>
      </c>
      <c r="E78" s="12" t="e">
        <f>TRUNC(#REF!,0)</f>
        <v>#REF!</v>
      </c>
      <c r="F78" s="12" t="e">
        <f t="shared" si="4"/>
        <v>#REF!</v>
      </c>
      <c r="G78" s="12" t="e">
        <f>TRUNC(#REF!,0)</f>
        <v>#REF!</v>
      </c>
      <c r="H78" s="12" t="e">
        <f t="shared" si="5"/>
        <v>#REF!</v>
      </c>
      <c r="I78" s="12" t="e">
        <f>TRUNC(#REF!,0)</f>
        <v>#REF!</v>
      </c>
      <c r="J78" s="12" t="e">
        <f t="shared" si="6"/>
        <v>#REF!</v>
      </c>
      <c r="K78" s="12" t="e">
        <f t="shared" si="7"/>
        <v>#REF!</v>
      </c>
      <c r="L78" s="12" t="e">
        <f t="shared" si="8"/>
        <v>#REF!</v>
      </c>
      <c r="M78" s="13" t="s">
        <v>152</v>
      </c>
      <c r="N78" s="1" t="s">
        <v>153</v>
      </c>
      <c r="O78" s="1" t="s">
        <v>51</v>
      </c>
      <c r="P78" s="1" t="s">
        <v>51</v>
      </c>
      <c r="Q78" s="1" t="s">
        <v>147</v>
      </c>
      <c r="R78" s="1" t="s">
        <v>59</v>
      </c>
      <c r="S78" s="1" t="s">
        <v>60</v>
      </c>
      <c r="T78" s="1" t="s">
        <v>60</v>
      </c>
      <c r="AR78" s="1" t="s">
        <v>51</v>
      </c>
      <c r="AS78" s="1" t="s">
        <v>51</v>
      </c>
      <c r="AU78" s="1" t="s">
        <v>154</v>
      </c>
      <c r="AV78">
        <v>43</v>
      </c>
    </row>
    <row r="79" spans="1:48" ht="30" customHeight="1" x14ac:dyDescent="0.3">
      <c r="A79" s="13" t="s">
        <v>119</v>
      </c>
      <c r="B79" s="13" t="s">
        <v>155</v>
      </c>
      <c r="C79" s="13" t="s">
        <v>81</v>
      </c>
      <c r="D79" s="11">
        <v>8</v>
      </c>
      <c r="E79" s="12" t="e">
        <f>TRUNC(#REF!,0)</f>
        <v>#REF!</v>
      </c>
      <c r="F79" s="12" t="e">
        <f t="shared" si="4"/>
        <v>#REF!</v>
      </c>
      <c r="G79" s="12" t="e">
        <f>TRUNC(#REF!,0)</f>
        <v>#REF!</v>
      </c>
      <c r="H79" s="12" t="e">
        <f t="shared" si="5"/>
        <v>#REF!</v>
      </c>
      <c r="I79" s="12" t="e">
        <f>TRUNC(#REF!,0)</f>
        <v>#REF!</v>
      </c>
      <c r="J79" s="12" t="e">
        <f t="shared" si="6"/>
        <v>#REF!</v>
      </c>
      <c r="K79" s="12" t="e">
        <f t="shared" si="7"/>
        <v>#REF!</v>
      </c>
      <c r="L79" s="12" t="e">
        <f t="shared" si="8"/>
        <v>#REF!</v>
      </c>
      <c r="M79" s="13" t="s">
        <v>156</v>
      </c>
      <c r="N79" s="1" t="s">
        <v>157</v>
      </c>
      <c r="O79" s="1" t="s">
        <v>51</v>
      </c>
      <c r="P79" s="1" t="s">
        <v>51</v>
      </c>
      <c r="Q79" s="1" t="s">
        <v>147</v>
      </c>
      <c r="R79" s="1" t="s">
        <v>59</v>
      </c>
      <c r="S79" s="1" t="s">
        <v>60</v>
      </c>
      <c r="T79" s="1" t="s">
        <v>60</v>
      </c>
      <c r="AR79" s="1" t="s">
        <v>51</v>
      </c>
      <c r="AS79" s="1" t="s">
        <v>51</v>
      </c>
      <c r="AU79" s="1" t="s">
        <v>158</v>
      </c>
      <c r="AV79">
        <v>44</v>
      </c>
    </row>
    <row r="80" spans="1:48" ht="30" customHeight="1" x14ac:dyDescent="0.3">
      <c r="A80" s="13" t="s">
        <v>124</v>
      </c>
      <c r="B80" s="13" t="s">
        <v>132</v>
      </c>
      <c r="C80" s="13" t="s">
        <v>81</v>
      </c>
      <c r="D80" s="11">
        <v>4</v>
      </c>
      <c r="E80" s="12" t="e">
        <f>TRUNC(#REF!,0)</f>
        <v>#REF!</v>
      </c>
      <c r="F80" s="12" t="e">
        <f t="shared" si="4"/>
        <v>#REF!</v>
      </c>
      <c r="G80" s="12" t="e">
        <f>TRUNC(#REF!,0)</f>
        <v>#REF!</v>
      </c>
      <c r="H80" s="12" t="e">
        <f t="shared" si="5"/>
        <v>#REF!</v>
      </c>
      <c r="I80" s="12" t="e">
        <f>TRUNC(#REF!,0)</f>
        <v>#REF!</v>
      </c>
      <c r="J80" s="12" t="e">
        <f t="shared" si="6"/>
        <v>#REF!</v>
      </c>
      <c r="K80" s="12" t="e">
        <f t="shared" si="7"/>
        <v>#REF!</v>
      </c>
      <c r="L80" s="12" t="e">
        <f t="shared" si="8"/>
        <v>#REF!</v>
      </c>
      <c r="M80" s="13" t="s">
        <v>51</v>
      </c>
      <c r="N80" s="1" t="s">
        <v>133</v>
      </c>
      <c r="O80" s="1" t="s">
        <v>51</v>
      </c>
      <c r="P80" s="1" t="s">
        <v>51</v>
      </c>
      <c r="Q80" s="1" t="s">
        <v>147</v>
      </c>
      <c r="R80" s="1" t="s">
        <v>60</v>
      </c>
      <c r="S80" s="1" t="s">
        <v>60</v>
      </c>
      <c r="T80" s="1" t="s">
        <v>59</v>
      </c>
      <c r="AR80" s="1" t="s">
        <v>51</v>
      </c>
      <c r="AS80" s="1" t="s">
        <v>51</v>
      </c>
      <c r="AU80" s="1" t="s">
        <v>159</v>
      </c>
      <c r="AV80">
        <v>45</v>
      </c>
    </row>
    <row r="81" spans="1:48" ht="30" customHeight="1" x14ac:dyDescent="0.3">
      <c r="A81" s="13" t="s">
        <v>124</v>
      </c>
      <c r="B81" s="13" t="s">
        <v>160</v>
      </c>
      <c r="C81" s="13" t="s">
        <v>81</v>
      </c>
      <c r="D81" s="11">
        <v>8</v>
      </c>
      <c r="E81" s="12" t="e">
        <f>TRUNC(#REF!,0)</f>
        <v>#REF!</v>
      </c>
      <c r="F81" s="12" t="e">
        <f t="shared" si="4"/>
        <v>#REF!</v>
      </c>
      <c r="G81" s="12" t="e">
        <f>TRUNC(#REF!,0)</f>
        <v>#REF!</v>
      </c>
      <c r="H81" s="12" t="e">
        <f t="shared" si="5"/>
        <v>#REF!</v>
      </c>
      <c r="I81" s="12" t="e">
        <f>TRUNC(#REF!,0)</f>
        <v>#REF!</v>
      </c>
      <c r="J81" s="12" t="e">
        <f t="shared" si="6"/>
        <v>#REF!</v>
      </c>
      <c r="K81" s="12" t="e">
        <f t="shared" si="7"/>
        <v>#REF!</v>
      </c>
      <c r="L81" s="12" t="e">
        <f t="shared" si="8"/>
        <v>#REF!</v>
      </c>
      <c r="M81" s="13" t="s">
        <v>51</v>
      </c>
      <c r="N81" s="1" t="s">
        <v>161</v>
      </c>
      <c r="O81" s="1" t="s">
        <v>51</v>
      </c>
      <c r="P81" s="1" t="s">
        <v>51</v>
      </c>
      <c r="Q81" s="1" t="s">
        <v>147</v>
      </c>
      <c r="R81" s="1" t="s">
        <v>60</v>
      </c>
      <c r="S81" s="1" t="s">
        <v>60</v>
      </c>
      <c r="T81" s="1" t="s">
        <v>59</v>
      </c>
      <c r="AR81" s="1" t="s">
        <v>51</v>
      </c>
      <c r="AS81" s="1" t="s">
        <v>51</v>
      </c>
      <c r="AU81" s="1" t="s">
        <v>162</v>
      </c>
      <c r="AV81">
        <v>46</v>
      </c>
    </row>
    <row r="82" spans="1:48" ht="30" customHeight="1" x14ac:dyDescent="0.3">
      <c r="A82" s="13" t="s">
        <v>163</v>
      </c>
      <c r="B82" s="13" t="s">
        <v>164</v>
      </c>
      <c r="C82" s="13" t="s">
        <v>81</v>
      </c>
      <c r="D82" s="11">
        <v>10</v>
      </c>
      <c r="E82" s="12" t="e">
        <f>TRUNC(#REF!,0)</f>
        <v>#REF!</v>
      </c>
      <c r="F82" s="12" t="e">
        <f t="shared" si="4"/>
        <v>#REF!</v>
      </c>
      <c r="G82" s="12" t="e">
        <f>TRUNC(#REF!,0)</f>
        <v>#REF!</v>
      </c>
      <c r="H82" s="12" t="e">
        <f t="shared" si="5"/>
        <v>#REF!</v>
      </c>
      <c r="I82" s="12" t="e">
        <f>TRUNC(#REF!,0)</f>
        <v>#REF!</v>
      </c>
      <c r="J82" s="12" t="e">
        <f t="shared" si="6"/>
        <v>#REF!</v>
      </c>
      <c r="K82" s="12" t="e">
        <f t="shared" si="7"/>
        <v>#REF!</v>
      </c>
      <c r="L82" s="12" t="e">
        <f t="shared" si="8"/>
        <v>#REF!</v>
      </c>
      <c r="M82" s="13" t="s">
        <v>165</v>
      </c>
      <c r="N82" s="1" t="s">
        <v>166</v>
      </c>
      <c r="O82" s="1" t="s">
        <v>51</v>
      </c>
      <c r="P82" s="1" t="s">
        <v>51</v>
      </c>
      <c r="Q82" s="1" t="s">
        <v>147</v>
      </c>
      <c r="R82" s="1" t="s">
        <v>59</v>
      </c>
      <c r="S82" s="1" t="s">
        <v>60</v>
      </c>
      <c r="T82" s="1" t="s">
        <v>60</v>
      </c>
      <c r="AR82" s="1" t="s">
        <v>51</v>
      </c>
      <c r="AS82" s="1" t="s">
        <v>51</v>
      </c>
      <c r="AU82" s="1" t="s">
        <v>167</v>
      </c>
      <c r="AV82">
        <v>47</v>
      </c>
    </row>
    <row r="83" spans="1:48" ht="30" customHeight="1" x14ac:dyDescent="0.3">
      <c r="A83" s="13" t="s">
        <v>135</v>
      </c>
      <c r="B83" s="13" t="s">
        <v>136</v>
      </c>
      <c r="C83" s="13" t="s">
        <v>86</v>
      </c>
      <c r="D83" s="11">
        <v>81</v>
      </c>
      <c r="E83" s="12" t="e">
        <f>TRUNC(#REF!,0)</f>
        <v>#REF!</v>
      </c>
      <c r="F83" s="12" t="e">
        <f t="shared" si="4"/>
        <v>#REF!</v>
      </c>
      <c r="G83" s="12" t="e">
        <f>TRUNC(#REF!,0)</f>
        <v>#REF!</v>
      </c>
      <c r="H83" s="12" t="e">
        <f t="shared" si="5"/>
        <v>#REF!</v>
      </c>
      <c r="I83" s="12" t="e">
        <f>TRUNC(#REF!,0)</f>
        <v>#REF!</v>
      </c>
      <c r="J83" s="12" t="e">
        <f t="shared" si="6"/>
        <v>#REF!</v>
      </c>
      <c r="K83" s="12" t="e">
        <f t="shared" si="7"/>
        <v>#REF!</v>
      </c>
      <c r="L83" s="12" t="e">
        <f t="shared" si="8"/>
        <v>#REF!</v>
      </c>
      <c r="M83" s="13" t="s">
        <v>137</v>
      </c>
      <c r="N83" s="1" t="s">
        <v>138</v>
      </c>
      <c r="O83" s="1" t="s">
        <v>51</v>
      </c>
      <c r="P83" s="1" t="s">
        <v>51</v>
      </c>
      <c r="Q83" s="1" t="s">
        <v>147</v>
      </c>
      <c r="R83" s="1" t="s">
        <v>59</v>
      </c>
      <c r="S83" s="1" t="s">
        <v>60</v>
      </c>
      <c r="T83" s="1" t="s">
        <v>60</v>
      </c>
      <c r="AR83" s="1" t="s">
        <v>51</v>
      </c>
      <c r="AS83" s="1" t="s">
        <v>51</v>
      </c>
      <c r="AU83" s="1" t="s">
        <v>168</v>
      </c>
      <c r="AV83">
        <v>48</v>
      </c>
    </row>
    <row r="84" spans="1:48" ht="30" customHeight="1" x14ac:dyDescent="0.3">
      <c r="A84" s="13" t="s">
        <v>169</v>
      </c>
      <c r="B84" s="13" t="s">
        <v>170</v>
      </c>
      <c r="C84" s="13" t="s">
        <v>57</v>
      </c>
      <c r="D84" s="11">
        <v>40</v>
      </c>
      <c r="E84" s="12" t="e">
        <f>TRUNC(#REF!,0)</f>
        <v>#REF!</v>
      </c>
      <c r="F84" s="12" t="e">
        <f t="shared" si="4"/>
        <v>#REF!</v>
      </c>
      <c r="G84" s="12" t="e">
        <f>TRUNC(#REF!,0)</f>
        <v>#REF!</v>
      </c>
      <c r="H84" s="12" t="e">
        <f t="shared" si="5"/>
        <v>#REF!</v>
      </c>
      <c r="I84" s="12" t="e">
        <f>TRUNC(#REF!,0)</f>
        <v>#REF!</v>
      </c>
      <c r="J84" s="12" t="e">
        <f t="shared" si="6"/>
        <v>#REF!</v>
      </c>
      <c r="K84" s="12" t="e">
        <f t="shared" si="7"/>
        <v>#REF!</v>
      </c>
      <c r="L84" s="12" t="e">
        <f t="shared" si="8"/>
        <v>#REF!</v>
      </c>
      <c r="M84" s="13" t="s">
        <v>171</v>
      </c>
      <c r="N84" s="1" t="s">
        <v>172</v>
      </c>
      <c r="O84" s="1" t="s">
        <v>51</v>
      </c>
      <c r="P84" s="1" t="s">
        <v>51</v>
      </c>
      <c r="Q84" s="1" t="s">
        <v>147</v>
      </c>
      <c r="R84" s="1" t="s">
        <v>59</v>
      </c>
      <c r="S84" s="1" t="s">
        <v>60</v>
      </c>
      <c r="T84" s="1" t="s">
        <v>60</v>
      </c>
      <c r="AR84" s="1" t="s">
        <v>51</v>
      </c>
      <c r="AS84" s="1" t="s">
        <v>51</v>
      </c>
      <c r="AU84" s="1" t="s">
        <v>173</v>
      </c>
      <c r="AV84">
        <v>49</v>
      </c>
    </row>
    <row r="85" spans="1:48" ht="30" customHeight="1" x14ac:dyDescent="0.3">
      <c r="A85" s="13" t="s">
        <v>140</v>
      </c>
      <c r="B85" s="13" t="s">
        <v>141</v>
      </c>
      <c r="C85" s="13" t="s">
        <v>142</v>
      </c>
      <c r="D85" s="11">
        <v>5</v>
      </c>
      <c r="E85" s="12" t="e">
        <f>TRUNC(#REF!,0)</f>
        <v>#REF!</v>
      </c>
      <c r="F85" s="12" t="e">
        <f t="shared" si="4"/>
        <v>#REF!</v>
      </c>
      <c r="G85" s="12" t="e">
        <f>TRUNC(#REF!,0)</f>
        <v>#REF!</v>
      </c>
      <c r="H85" s="12" t="e">
        <f t="shared" si="5"/>
        <v>#REF!</v>
      </c>
      <c r="I85" s="12" t="e">
        <f>TRUNC(#REF!,0)</f>
        <v>#REF!</v>
      </c>
      <c r="J85" s="12" t="e">
        <f t="shared" si="6"/>
        <v>#REF!</v>
      </c>
      <c r="K85" s="12" t="e">
        <f t="shared" si="7"/>
        <v>#REF!</v>
      </c>
      <c r="L85" s="12" t="e">
        <f t="shared" si="8"/>
        <v>#REF!</v>
      </c>
      <c r="M85" s="13" t="s">
        <v>143</v>
      </c>
      <c r="N85" s="1" t="s">
        <v>144</v>
      </c>
      <c r="O85" s="1" t="s">
        <v>51</v>
      </c>
      <c r="P85" s="1" t="s">
        <v>51</v>
      </c>
      <c r="Q85" s="1" t="s">
        <v>147</v>
      </c>
      <c r="R85" s="1" t="s">
        <v>59</v>
      </c>
      <c r="S85" s="1" t="s">
        <v>60</v>
      </c>
      <c r="T85" s="1" t="s">
        <v>60</v>
      </c>
      <c r="AR85" s="1" t="s">
        <v>51</v>
      </c>
      <c r="AS85" s="1" t="s">
        <v>51</v>
      </c>
      <c r="AU85" s="1" t="s">
        <v>174</v>
      </c>
      <c r="AV85">
        <v>50</v>
      </c>
    </row>
    <row r="86" spans="1:48" ht="30" customHeight="1" x14ac:dyDescent="0.3">
      <c r="A86" s="11"/>
      <c r="B86" s="11"/>
      <c r="C86" s="11"/>
      <c r="D86" s="11"/>
      <c r="E86" s="12"/>
      <c r="F86" s="12"/>
      <c r="G86" s="12"/>
      <c r="H86" s="12"/>
      <c r="I86" s="12"/>
      <c r="J86" s="12"/>
      <c r="K86" s="12"/>
      <c r="L86" s="12"/>
      <c r="M86" s="11"/>
      <c r="Q86" s="1" t="s">
        <v>147</v>
      </c>
    </row>
    <row r="87" spans="1:48" ht="30" customHeight="1" x14ac:dyDescent="0.3">
      <c r="A87" s="11"/>
      <c r="B87" s="11"/>
      <c r="C87" s="11"/>
      <c r="D87" s="11"/>
      <c r="E87" s="12"/>
      <c r="F87" s="12"/>
      <c r="G87" s="12"/>
      <c r="H87" s="12"/>
      <c r="I87" s="12"/>
      <c r="J87" s="12"/>
      <c r="K87" s="12"/>
      <c r="L87" s="12"/>
      <c r="M87" s="11"/>
      <c r="Q87" s="1" t="s">
        <v>147</v>
      </c>
    </row>
    <row r="88" spans="1:48" ht="30" customHeight="1" x14ac:dyDescent="0.3">
      <c r="A88" s="11"/>
      <c r="B88" s="11"/>
      <c r="C88" s="11"/>
      <c r="D88" s="11"/>
      <c r="E88" s="12"/>
      <c r="F88" s="12"/>
      <c r="G88" s="12"/>
      <c r="H88" s="12"/>
      <c r="I88" s="12"/>
      <c r="J88" s="12"/>
      <c r="K88" s="12"/>
      <c r="L88" s="12"/>
      <c r="M88" s="11"/>
      <c r="Q88" s="1" t="s">
        <v>147</v>
      </c>
    </row>
    <row r="89" spans="1:48" ht="30" customHeight="1" x14ac:dyDescent="0.3">
      <c r="A89" s="11"/>
      <c r="B89" s="11"/>
      <c r="C89" s="11"/>
      <c r="D89" s="11"/>
      <c r="E89" s="12"/>
      <c r="F89" s="12"/>
      <c r="G89" s="12"/>
      <c r="H89" s="12"/>
      <c r="I89" s="12"/>
      <c r="J89" s="12"/>
      <c r="K89" s="12"/>
      <c r="L89" s="12"/>
      <c r="M89" s="11"/>
      <c r="Q89" s="1" t="s">
        <v>147</v>
      </c>
    </row>
    <row r="90" spans="1:48" ht="30" customHeight="1" x14ac:dyDescent="0.3">
      <c r="A90" s="11"/>
      <c r="B90" s="11"/>
      <c r="C90" s="11"/>
      <c r="D90" s="11"/>
      <c r="E90" s="12"/>
      <c r="F90" s="12"/>
      <c r="G90" s="12"/>
      <c r="H90" s="12"/>
      <c r="I90" s="12"/>
      <c r="J90" s="12"/>
      <c r="K90" s="12"/>
      <c r="L90" s="12"/>
      <c r="M90" s="11"/>
      <c r="Q90" s="1" t="s">
        <v>147</v>
      </c>
    </row>
    <row r="91" spans="1:48" ht="30" customHeight="1" x14ac:dyDescent="0.3">
      <c r="A91" s="11"/>
      <c r="B91" s="11"/>
      <c r="C91" s="11"/>
      <c r="D91" s="11"/>
      <c r="E91" s="12"/>
      <c r="F91" s="12"/>
      <c r="G91" s="12"/>
      <c r="H91" s="12"/>
      <c r="I91" s="12"/>
      <c r="J91" s="12"/>
      <c r="K91" s="12"/>
      <c r="L91" s="12"/>
      <c r="M91" s="11"/>
      <c r="Q91" s="1" t="s">
        <v>147</v>
      </c>
    </row>
    <row r="92" spans="1:48" ht="30" customHeight="1" x14ac:dyDescent="0.3">
      <c r="A92" s="11"/>
      <c r="B92" s="11"/>
      <c r="C92" s="11"/>
      <c r="D92" s="11"/>
      <c r="E92" s="12"/>
      <c r="F92" s="12"/>
      <c r="G92" s="12"/>
      <c r="H92" s="12"/>
      <c r="I92" s="12"/>
      <c r="J92" s="12"/>
      <c r="K92" s="12"/>
      <c r="L92" s="12"/>
      <c r="M92" s="11"/>
      <c r="Q92" s="1" t="s">
        <v>147</v>
      </c>
    </row>
    <row r="93" spans="1:48" ht="30" customHeight="1" x14ac:dyDescent="0.3">
      <c r="A93" s="11"/>
      <c r="B93" s="11"/>
      <c r="C93" s="11"/>
      <c r="D93" s="11"/>
      <c r="E93" s="12"/>
      <c r="F93" s="12"/>
      <c r="G93" s="12"/>
      <c r="H93" s="12"/>
      <c r="I93" s="12"/>
      <c r="J93" s="12"/>
      <c r="K93" s="12"/>
      <c r="L93" s="12"/>
      <c r="M93" s="11"/>
      <c r="Q93" s="1" t="s">
        <v>147</v>
      </c>
    </row>
    <row r="94" spans="1:48" ht="30" customHeight="1" x14ac:dyDescent="0.3">
      <c r="A94" s="11"/>
      <c r="B94" s="11"/>
      <c r="C94" s="11"/>
      <c r="D94" s="11"/>
      <c r="E94" s="12"/>
      <c r="F94" s="12"/>
      <c r="G94" s="12"/>
      <c r="H94" s="12"/>
      <c r="I94" s="12"/>
      <c r="J94" s="12"/>
      <c r="K94" s="12"/>
      <c r="L94" s="12"/>
      <c r="M94" s="11"/>
      <c r="Q94" s="1" t="s">
        <v>147</v>
      </c>
    </row>
    <row r="95" spans="1:48" ht="30" customHeight="1" x14ac:dyDescent="0.3">
      <c r="A95" s="11"/>
      <c r="B95" s="11"/>
      <c r="C95" s="11"/>
      <c r="D95" s="11"/>
      <c r="E95" s="12"/>
      <c r="F95" s="12"/>
      <c r="G95" s="12"/>
      <c r="H95" s="12"/>
      <c r="I95" s="12"/>
      <c r="J95" s="12"/>
      <c r="K95" s="12"/>
      <c r="L95" s="12"/>
      <c r="M95" s="11"/>
      <c r="Q95" s="1" t="s">
        <v>147</v>
      </c>
    </row>
    <row r="96" spans="1:48" ht="30" customHeight="1" x14ac:dyDescent="0.3">
      <c r="A96" s="11"/>
      <c r="B96" s="11"/>
      <c r="C96" s="11"/>
      <c r="D96" s="11"/>
      <c r="E96" s="12"/>
      <c r="F96" s="12"/>
      <c r="G96" s="12"/>
      <c r="H96" s="12"/>
      <c r="I96" s="12"/>
      <c r="J96" s="12"/>
      <c r="K96" s="12"/>
      <c r="L96" s="12"/>
      <c r="M96" s="11"/>
      <c r="Q96" s="1" t="s">
        <v>147</v>
      </c>
    </row>
    <row r="97" spans="1:48" ht="30" customHeight="1" x14ac:dyDescent="0.3">
      <c r="A97" s="11"/>
      <c r="B97" s="11"/>
      <c r="C97" s="11"/>
      <c r="D97" s="11"/>
      <c r="E97" s="12"/>
      <c r="F97" s="12"/>
      <c r="G97" s="12"/>
      <c r="H97" s="12"/>
      <c r="I97" s="12"/>
      <c r="J97" s="12"/>
      <c r="K97" s="12"/>
      <c r="L97" s="12"/>
      <c r="M97" s="11"/>
      <c r="Q97" s="1" t="s">
        <v>147</v>
      </c>
    </row>
    <row r="98" spans="1:48" ht="30" customHeight="1" x14ac:dyDescent="0.3">
      <c r="A98" s="11"/>
      <c r="B98" s="11"/>
      <c r="C98" s="11"/>
      <c r="D98" s="11"/>
      <c r="E98" s="12"/>
      <c r="F98" s="12"/>
      <c r="G98" s="12"/>
      <c r="H98" s="12"/>
      <c r="I98" s="12"/>
      <c r="J98" s="12"/>
      <c r="K98" s="12"/>
      <c r="L98" s="12"/>
      <c r="M98" s="11"/>
      <c r="Q98" s="1" t="s">
        <v>147</v>
      </c>
    </row>
    <row r="99" spans="1:48" ht="30" customHeight="1" x14ac:dyDescent="0.3">
      <c r="A99" s="13" t="s">
        <v>94</v>
      </c>
      <c r="B99" s="11"/>
      <c r="C99" s="11"/>
      <c r="D99" s="11"/>
      <c r="E99" s="12"/>
      <c r="F99" s="12" t="e">
        <f>SUMIF(Q77:Q98,"0104",F77:F98)</f>
        <v>#REF!</v>
      </c>
      <c r="G99" s="12"/>
      <c r="H99" s="12" t="e">
        <f>SUMIF(Q77:Q98,"0104",H77:H98)</f>
        <v>#REF!</v>
      </c>
      <c r="I99" s="12"/>
      <c r="J99" s="12" t="e">
        <f>SUMIF(Q77:Q98,"0104",J77:J98)</f>
        <v>#REF!</v>
      </c>
      <c r="K99" s="12"/>
      <c r="L99" s="12" t="e">
        <f>SUMIF(Q77:Q98,"0104",L77:L98)</f>
        <v>#REF!</v>
      </c>
      <c r="M99" s="11"/>
      <c r="N99" t="s">
        <v>95</v>
      </c>
    </row>
    <row r="100" spans="1:48" ht="30" customHeight="1" x14ac:dyDescent="0.3">
      <c r="A100" s="13" t="s">
        <v>175</v>
      </c>
      <c r="B100" s="13" t="s">
        <v>51</v>
      </c>
      <c r="C100" s="11"/>
      <c r="D100" s="11"/>
      <c r="E100" s="12"/>
      <c r="F100" s="12"/>
      <c r="G100" s="12"/>
      <c r="H100" s="12"/>
      <c r="I100" s="12"/>
      <c r="J100" s="12"/>
      <c r="K100" s="12"/>
      <c r="L100" s="12"/>
      <c r="M100" s="11"/>
      <c r="Q100" s="1" t="s">
        <v>176</v>
      </c>
    </row>
    <row r="101" spans="1:48" ht="30" customHeight="1" x14ac:dyDescent="0.3">
      <c r="A101" s="13" t="s">
        <v>55</v>
      </c>
      <c r="B101" s="13" t="s">
        <v>177</v>
      </c>
      <c r="C101" s="13" t="s">
        <v>57</v>
      </c>
      <c r="D101" s="11">
        <v>139</v>
      </c>
      <c r="E101" s="12" t="e">
        <f>TRUNC(#REF!,0)</f>
        <v>#REF!</v>
      </c>
      <c r="F101" s="12" t="e">
        <f t="shared" ref="F101:F116" si="9">TRUNC(E101*D101, 0)</f>
        <v>#REF!</v>
      </c>
      <c r="G101" s="12" t="e">
        <f>TRUNC(#REF!,0)</f>
        <v>#REF!</v>
      </c>
      <c r="H101" s="12" t="e">
        <f t="shared" ref="H101:H116" si="10">TRUNC(G101*D101, 0)</f>
        <v>#REF!</v>
      </c>
      <c r="I101" s="12" t="e">
        <f>TRUNC(#REF!,0)</f>
        <v>#REF!</v>
      </c>
      <c r="J101" s="12" t="e">
        <f t="shared" ref="J101:J116" si="11">TRUNC(I101*D101, 0)</f>
        <v>#REF!</v>
      </c>
      <c r="K101" s="12" t="e">
        <f t="shared" ref="K101:K116" si="12">TRUNC(E101+G101+I101, 0)</f>
        <v>#REF!</v>
      </c>
      <c r="L101" s="12" t="e">
        <f t="shared" ref="L101:L116" si="13">TRUNC(F101+H101+J101, 0)</f>
        <v>#REF!</v>
      </c>
      <c r="M101" s="13" t="s">
        <v>178</v>
      </c>
      <c r="N101" s="1" t="s">
        <v>179</v>
      </c>
      <c r="O101" s="1" t="s">
        <v>51</v>
      </c>
      <c r="P101" s="1" t="s">
        <v>51</v>
      </c>
      <c r="Q101" s="1" t="s">
        <v>176</v>
      </c>
      <c r="R101" s="1" t="s">
        <v>59</v>
      </c>
      <c r="S101" s="1" t="s">
        <v>60</v>
      </c>
      <c r="T101" s="1" t="s">
        <v>60</v>
      </c>
      <c r="AR101" s="1" t="s">
        <v>51</v>
      </c>
      <c r="AS101" s="1" t="s">
        <v>51</v>
      </c>
      <c r="AU101" s="1" t="s">
        <v>180</v>
      </c>
      <c r="AV101">
        <v>22</v>
      </c>
    </row>
    <row r="102" spans="1:48" ht="30" customHeight="1" x14ac:dyDescent="0.3">
      <c r="A102" s="13" t="s">
        <v>62</v>
      </c>
      <c r="B102" s="13" t="s">
        <v>181</v>
      </c>
      <c r="C102" s="13" t="s">
        <v>57</v>
      </c>
      <c r="D102" s="11">
        <v>96</v>
      </c>
      <c r="E102" s="12" t="e">
        <f>TRUNC(#REF!,0)</f>
        <v>#REF!</v>
      </c>
      <c r="F102" s="12" t="e">
        <f t="shared" si="9"/>
        <v>#REF!</v>
      </c>
      <c r="G102" s="12" t="e">
        <f>TRUNC(#REF!,0)</f>
        <v>#REF!</v>
      </c>
      <c r="H102" s="12" t="e">
        <f t="shared" si="10"/>
        <v>#REF!</v>
      </c>
      <c r="I102" s="12" t="e">
        <f>TRUNC(#REF!,0)</f>
        <v>#REF!</v>
      </c>
      <c r="J102" s="12" t="e">
        <f t="shared" si="11"/>
        <v>#REF!</v>
      </c>
      <c r="K102" s="12" t="e">
        <f t="shared" si="12"/>
        <v>#REF!</v>
      </c>
      <c r="L102" s="12" t="e">
        <f t="shared" si="13"/>
        <v>#REF!</v>
      </c>
      <c r="M102" s="13" t="s">
        <v>182</v>
      </c>
      <c r="N102" s="1" t="s">
        <v>183</v>
      </c>
      <c r="O102" s="1" t="s">
        <v>51</v>
      </c>
      <c r="P102" s="1" t="s">
        <v>51</v>
      </c>
      <c r="Q102" s="1" t="s">
        <v>176</v>
      </c>
      <c r="R102" s="1" t="s">
        <v>59</v>
      </c>
      <c r="S102" s="1" t="s">
        <v>60</v>
      </c>
      <c r="T102" s="1" t="s">
        <v>60</v>
      </c>
      <c r="AR102" s="1" t="s">
        <v>51</v>
      </c>
      <c r="AS102" s="1" t="s">
        <v>51</v>
      </c>
      <c r="AU102" s="1" t="s">
        <v>184</v>
      </c>
      <c r="AV102">
        <v>23</v>
      </c>
    </row>
    <row r="103" spans="1:48" ht="30" customHeight="1" x14ac:dyDescent="0.3">
      <c r="A103" s="13" t="s">
        <v>62</v>
      </c>
      <c r="B103" s="13" t="s">
        <v>185</v>
      </c>
      <c r="C103" s="13" t="s">
        <v>57</v>
      </c>
      <c r="D103" s="11">
        <v>43</v>
      </c>
      <c r="E103" s="12" t="e">
        <f>TRUNC(#REF!,0)</f>
        <v>#REF!</v>
      </c>
      <c r="F103" s="12" t="e">
        <f t="shared" si="9"/>
        <v>#REF!</v>
      </c>
      <c r="G103" s="12" t="e">
        <f>TRUNC(#REF!,0)</f>
        <v>#REF!</v>
      </c>
      <c r="H103" s="12" t="e">
        <f t="shared" si="10"/>
        <v>#REF!</v>
      </c>
      <c r="I103" s="12" t="e">
        <f>TRUNC(#REF!,0)</f>
        <v>#REF!</v>
      </c>
      <c r="J103" s="12" t="e">
        <f t="shared" si="11"/>
        <v>#REF!</v>
      </c>
      <c r="K103" s="12" t="e">
        <f t="shared" si="12"/>
        <v>#REF!</v>
      </c>
      <c r="L103" s="12" t="e">
        <f t="shared" si="13"/>
        <v>#REF!</v>
      </c>
      <c r="M103" s="13" t="s">
        <v>186</v>
      </c>
      <c r="N103" s="1" t="s">
        <v>187</v>
      </c>
      <c r="O103" s="1" t="s">
        <v>51</v>
      </c>
      <c r="P103" s="1" t="s">
        <v>51</v>
      </c>
      <c r="Q103" s="1" t="s">
        <v>176</v>
      </c>
      <c r="R103" s="1" t="s">
        <v>59</v>
      </c>
      <c r="S103" s="1" t="s">
        <v>60</v>
      </c>
      <c r="T103" s="1" t="s">
        <v>60</v>
      </c>
      <c r="AR103" s="1" t="s">
        <v>51</v>
      </c>
      <c r="AS103" s="1" t="s">
        <v>51</v>
      </c>
      <c r="AU103" s="1" t="s">
        <v>188</v>
      </c>
      <c r="AV103">
        <v>24</v>
      </c>
    </row>
    <row r="104" spans="1:48" ht="30" customHeight="1" x14ac:dyDescent="0.3">
      <c r="A104" s="13" t="s">
        <v>109</v>
      </c>
      <c r="B104" s="13" t="s">
        <v>189</v>
      </c>
      <c r="C104" s="13" t="s">
        <v>57</v>
      </c>
      <c r="D104" s="11">
        <v>90</v>
      </c>
      <c r="E104" s="12" t="e">
        <f>TRUNC(#REF!,0)</f>
        <v>#REF!</v>
      </c>
      <c r="F104" s="12" t="e">
        <f t="shared" si="9"/>
        <v>#REF!</v>
      </c>
      <c r="G104" s="12" t="e">
        <f>TRUNC(#REF!,0)</f>
        <v>#REF!</v>
      </c>
      <c r="H104" s="12" t="e">
        <f t="shared" si="10"/>
        <v>#REF!</v>
      </c>
      <c r="I104" s="12" t="e">
        <f>TRUNC(#REF!,0)</f>
        <v>#REF!</v>
      </c>
      <c r="J104" s="12" t="e">
        <f t="shared" si="11"/>
        <v>#REF!</v>
      </c>
      <c r="K104" s="12" t="e">
        <f t="shared" si="12"/>
        <v>#REF!</v>
      </c>
      <c r="L104" s="12" t="e">
        <f t="shared" si="13"/>
        <v>#REF!</v>
      </c>
      <c r="M104" s="13" t="s">
        <v>190</v>
      </c>
      <c r="N104" s="1" t="s">
        <v>191</v>
      </c>
      <c r="O104" s="1" t="s">
        <v>51</v>
      </c>
      <c r="P104" s="1" t="s">
        <v>51</v>
      </c>
      <c r="Q104" s="1" t="s">
        <v>176</v>
      </c>
      <c r="R104" s="1" t="s">
        <v>59</v>
      </c>
      <c r="S104" s="1" t="s">
        <v>60</v>
      </c>
      <c r="T104" s="1" t="s">
        <v>60</v>
      </c>
      <c r="AR104" s="1" t="s">
        <v>51</v>
      </c>
      <c r="AS104" s="1" t="s">
        <v>51</v>
      </c>
      <c r="AU104" s="1" t="s">
        <v>192</v>
      </c>
      <c r="AV104">
        <v>25</v>
      </c>
    </row>
    <row r="105" spans="1:48" ht="30" customHeight="1" x14ac:dyDescent="0.3">
      <c r="A105" s="13" t="s">
        <v>79</v>
      </c>
      <c r="B105" s="13" t="s">
        <v>80</v>
      </c>
      <c r="C105" s="13" t="s">
        <v>81</v>
      </c>
      <c r="D105" s="11">
        <v>25</v>
      </c>
      <c r="E105" s="12" t="e">
        <f>TRUNC(#REF!,0)</f>
        <v>#REF!</v>
      </c>
      <c r="F105" s="12" t="e">
        <f t="shared" si="9"/>
        <v>#REF!</v>
      </c>
      <c r="G105" s="12" t="e">
        <f>TRUNC(#REF!,0)</f>
        <v>#REF!</v>
      </c>
      <c r="H105" s="12" t="e">
        <f t="shared" si="10"/>
        <v>#REF!</v>
      </c>
      <c r="I105" s="12" t="e">
        <f>TRUNC(#REF!,0)</f>
        <v>#REF!</v>
      </c>
      <c r="J105" s="12" t="e">
        <f t="shared" si="11"/>
        <v>#REF!</v>
      </c>
      <c r="K105" s="12" t="e">
        <f t="shared" si="12"/>
        <v>#REF!</v>
      </c>
      <c r="L105" s="12" t="e">
        <f t="shared" si="13"/>
        <v>#REF!</v>
      </c>
      <c r="M105" s="13" t="s">
        <v>51</v>
      </c>
      <c r="N105" s="1" t="s">
        <v>82</v>
      </c>
      <c r="O105" s="1" t="s">
        <v>51</v>
      </c>
      <c r="P105" s="1" t="s">
        <v>51</v>
      </c>
      <c r="Q105" s="1" t="s">
        <v>176</v>
      </c>
      <c r="R105" s="1" t="s">
        <v>60</v>
      </c>
      <c r="S105" s="1" t="s">
        <v>60</v>
      </c>
      <c r="T105" s="1" t="s">
        <v>59</v>
      </c>
      <c r="AR105" s="1" t="s">
        <v>51</v>
      </c>
      <c r="AS105" s="1" t="s">
        <v>51</v>
      </c>
      <c r="AU105" s="1" t="s">
        <v>193</v>
      </c>
      <c r="AV105">
        <v>26</v>
      </c>
    </row>
    <row r="106" spans="1:48" ht="30" customHeight="1" x14ac:dyDescent="0.3">
      <c r="A106" s="13" t="s">
        <v>194</v>
      </c>
      <c r="B106" s="13" t="s">
        <v>195</v>
      </c>
      <c r="C106" s="13" t="s">
        <v>81</v>
      </c>
      <c r="D106" s="11">
        <v>13</v>
      </c>
      <c r="E106" s="12" t="e">
        <f>TRUNC(#REF!,0)</f>
        <v>#REF!</v>
      </c>
      <c r="F106" s="12" t="e">
        <f t="shared" si="9"/>
        <v>#REF!</v>
      </c>
      <c r="G106" s="12" t="e">
        <f>TRUNC(#REF!,0)</f>
        <v>#REF!</v>
      </c>
      <c r="H106" s="12" t="e">
        <f t="shared" si="10"/>
        <v>#REF!</v>
      </c>
      <c r="I106" s="12" t="e">
        <f>TRUNC(#REF!,0)</f>
        <v>#REF!</v>
      </c>
      <c r="J106" s="12" t="e">
        <f t="shared" si="11"/>
        <v>#REF!</v>
      </c>
      <c r="K106" s="12" t="e">
        <f t="shared" si="12"/>
        <v>#REF!</v>
      </c>
      <c r="L106" s="12" t="e">
        <f t="shared" si="13"/>
        <v>#REF!</v>
      </c>
      <c r="M106" s="13" t="s">
        <v>196</v>
      </c>
      <c r="N106" s="1" t="s">
        <v>197</v>
      </c>
      <c r="O106" s="1" t="s">
        <v>51</v>
      </c>
      <c r="P106" s="1" t="s">
        <v>51</v>
      </c>
      <c r="Q106" s="1" t="s">
        <v>176</v>
      </c>
      <c r="R106" s="1" t="s">
        <v>59</v>
      </c>
      <c r="S106" s="1" t="s">
        <v>60</v>
      </c>
      <c r="T106" s="1" t="s">
        <v>60</v>
      </c>
      <c r="AR106" s="1" t="s">
        <v>51</v>
      </c>
      <c r="AS106" s="1" t="s">
        <v>51</v>
      </c>
      <c r="AU106" s="1" t="s">
        <v>198</v>
      </c>
      <c r="AV106">
        <v>27</v>
      </c>
    </row>
    <row r="107" spans="1:48" ht="30" customHeight="1" x14ac:dyDescent="0.3">
      <c r="A107" s="13" t="s">
        <v>119</v>
      </c>
      <c r="B107" s="13" t="s">
        <v>120</v>
      </c>
      <c r="C107" s="13" t="s">
        <v>81</v>
      </c>
      <c r="D107" s="11">
        <v>2</v>
      </c>
      <c r="E107" s="12" t="e">
        <f>TRUNC(#REF!,0)</f>
        <v>#REF!</v>
      </c>
      <c r="F107" s="12" t="e">
        <f t="shared" si="9"/>
        <v>#REF!</v>
      </c>
      <c r="G107" s="12" t="e">
        <f>TRUNC(#REF!,0)</f>
        <v>#REF!</v>
      </c>
      <c r="H107" s="12" t="e">
        <f t="shared" si="10"/>
        <v>#REF!</v>
      </c>
      <c r="I107" s="12" t="e">
        <f>TRUNC(#REF!,0)</f>
        <v>#REF!</v>
      </c>
      <c r="J107" s="12" t="e">
        <f t="shared" si="11"/>
        <v>#REF!</v>
      </c>
      <c r="K107" s="12" t="e">
        <f t="shared" si="12"/>
        <v>#REF!</v>
      </c>
      <c r="L107" s="12" t="e">
        <f t="shared" si="13"/>
        <v>#REF!</v>
      </c>
      <c r="M107" s="13" t="s">
        <v>152</v>
      </c>
      <c r="N107" s="1" t="s">
        <v>153</v>
      </c>
      <c r="O107" s="1" t="s">
        <v>51</v>
      </c>
      <c r="P107" s="1" t="s">
        <v>51</v>
      </c>
      <c r="Q107" s="1" t="s">
        <v>176</v>
      </c>
      <c r="R107" s="1" t="s">
        <v>59</v>
      </c>
      <c r="S107" s="1" t="s">
        <v>60</v>
      </c>
      <c r="T107" s="1" t="s">
        <v>60</v>
      </c>
      <c r="AR107" s="1" t="s">
        <v>51</v>
      </c>
      <c r="AS107" s="1" t="s">
        <v>51</v>
      </c>
      <c r="AU107" s="1" t="s">
        <v>199</v>
      </c>
      <c r="AV107">
        <v>28</v>
      </c>
    </row>
    <row r="108" spans="1:48" ht="30" customHeight="1" x14ac:dyDescent="0.3">
      <c r="A108" s="13" t="s">
        <v>119</v>
      </c>
      <c r="B108" s="13" t="s">
        <v>155</v>
      </c>
      <c r="C108" s="13" t="s">
        <v>81</v>
      </c>
      <c r="D108" s="11">
        <v>2</v>
      </c>
      <c r="E108" s="12" t="e">
        <f>TRUNC(#REF!,0)</f>
        <v>#REF!</v>
      </c>
      <c r="F108" s="12" t="e">
        <f t="shared" si="9"/>
        <v>#REF!</v>
      </c>
      <c r="G108" s="12" t="e">
        <f>TRUNC(#REF!,0)</f>
        <v>#REF!</v>
      </c>
      <c r="H108" s="12" t="e">
        <f t="shared" si="10"/>
        <v>#REF!</v>
      </c>
      <c r="I108" s="12" t="e">
        <f>TRUNC(#REF!,0)</f>
        <v>#REF!</v>
      </c>
      <c r="J108" s="12" t="e">
        <f t="shared" si="11"/>
        <v>#REF!</v>
      </c>
      <c r="K108" s="12" t="e">
        <f t="shared" si="12"/>
        <v>#REF!</v>
      </c>
      <c r="L108" s="12" t="e">
        <f t="shared" si="13"/>
        <v>#REF!</v>
      </c>
      <c r="M108" s="13" t="s">
        <v>156</v>
      </c>
      <c r="N108" s="1" t="s">
        <v>157</v>
      </c>
      <c r="O108" s="1" t="s">
        <v>51</v>
      </c>
      <c r="P108" s="1" t="s">
        <v>51</v>
      </c>
      <c r="Q108" s="1" t="s">
        <v>176</v>
      </c>
      <c r="R108" s="1" t="s">
        <v>59</v>
      </c>
      <c r="S108" s="1" t="s">
        <v>60</v>
      </c>
      <c r="T108" s="1" t="s">
        <v>60</v>
      </c>
      <c r="AR108" s="1" t="s">
        <v>51</v>
      </c>
      <c r="AS108" s="1" t="s">
        <v>51</v>
      </c>
      <c r="AU108" s="1" t="s">
        <v>200</v>
      </c>
      <c r="AV108">
        <v>29</v>
      </c>
    </row>
    <row r="109" spans="1:48" ht="30" customHeight="1" x14ac:dyDescent="0.3">
      <c r="A109" s="13" t="s">
        <v>124</v>
      </c>
      <c r="B109" s="13" t="s">
        <v>132</v>
      </c>
      <c r="C109" s="13" t="s">
        <v>81</v>
      </c>
      <c r="D109" s="11">
        <v>2</v>
      </c>
      <c r="E109" s="12" t="e">
        <f>TRUNC(#REF!,0)</f>
        <v>#REF!</v>
      </c>
      <c r="F109" s="12" t="e">
        <f t="shared" si="9"/>
        <v>#REF!</v>
      </c>
      <c r="G109" s="12" t="e">
        <f>TRUNC(#REF!,0)</f>
        <v>#REF!</v>
      </c>
      <c r="H109" s="12" t="e">
        <f t="shared" si="10"/>
        <v>#REF!</v>
      </c>
      <c r="I109" s="12" t="e">
        <f>TRUNC(#REF!,0)</f>
        <v>#REF!</v>
      </c>
      <c r="J109" s="12" t="e">
        <f t="shared" si="11"/>
        <v>#REF!</v>
      </c>
      <c r="K109" s="12" t="e">
        <f t="shared" si="12"/>
        <v>#REF!</v>
      </c>
      <c r="L109" s="12" t="e">
        <f t="shared" si="13"/>
        <v>#REF!</v>
      </c>
      <c r="M109" s="13" t="s">
        <v>51</v>
      </c>
      <c r="N109" s="1" t="s">
        <v>133</v>
      </c>
      <c r="O109" s="1" t="s">
        <v>51</v>
      </c>
      <c r="P109" s="1" t="s">
        <v>51</v>
      </c>
      <c r="Q109" s="1" t="s">
        <v>176</v>
      </c>
      <c r="R109" s="1" t="s">
        <v>60</v>
      </c>
      <c r="S109" s="1" t="s">
        <v>60</v>
      </c>
      <c r="T109" s="1" t="s">
        <v>59</v>
      </c>
      <c r="AR109" s="1" t="s">
        <v>51</v>
      </c>
      <c r="AS109" s="1" t="s">
        <v>51</v>
      </c>
      <c r="AU109" s="1" t="s">
        <v>201</v>
      </c>
      <c r="AV109">
        <v>30</v>
      </c>
    </row>
    <row r="110" spans="1:48" ht="30" customHeight="1" x14ac:dyDescent="0.3">
      <c r="A110" s="13" t="s">
        <v>124</v>
      </c>
      <c r="B110" s="13" t="s">
        <v>160</v>
      </c>
      <c r="C110" s="13" t="s">
        <v>81</v>
      </c>
      <c r="D110" s="11">
        <v>2</v>
      </c>
      <c r="E110" s="12" t="e">
        <f>TRUNC(#REF!,0)</f>
        <v>#REF!</v>
      </c>
      <c r="F110" s="12" t="e">
        <f t="shared" si="9"/>
        <v>#REF!</v>
      </c>
      <c r="G110" s="12" t="e">
        <f>TRUNC(#REF!,0)</f>
        <v>#REF!</v>
      </c>
      <c r="H110" s="12" t="e">
        <f t="shared" si="10"/>
        <v>#REF!</v>
      </c>
      <c r="I110" s="12" t="e">
        <f>TRUNC(#REF!,0)</f>
        <v>#REF!</v>
      </c>
      <c r="J110" s="12" t="e">
        <f t="shared" si="11"/>
        <v>#REF!</v>
      </c>
      <c r="K110" s="12" t="e">
        <f t="shared" si="12"/>
        <v>#REF!</v>
      </c>
      <c r="L110" s="12" t="e">
        <f t="shared" si="13"/>
        <v>#REF!</v>
      </c>
      <c r="M110" s="13" t="s">
        <v>51</v>
      </c>
      <c r="N110" s="1" t="s">
        <v>161</v>
      </c>
      <c r="O110" s="1" t="s">
        <v>51</v>
      </c>
      <c r="P110" s="1" t="s">
        <v>51</v>
      </c>
      <c r="Q110" s="1" t="s">
        <v>176</v>
      </c>
      <c r="R110" s="1" t="s">
        <v>60</v>
      </c>
      <c r="S110" s="1" t="s">
        <v>60</v>
      </c>
      <c r="T110" s="1" t="s">
        <v>59</v>
      </c>
      <c r="AR110" s="1" t="s">
        <v>51</v>
      </c>
      <c r="AS110" s="1" t="s">
        <v>51</v>
      </c>
      <c r="AU110" s="1" t="s">
        <v>202</v>
      </c>
      <c r="AV110">
        <v>31</v>
      </c>
    </row>
    <row r="111" spans="1:48" ht="30" customHeight="1" x14ac:dyDescent="0.3">
      <c r="A111" s="13" t="s">
        <v>163</v>
      </c>
      <c r="B111" s="13" t="s">
        <v>164</v>
      </c>
      <c r="C111" s="13" t="s">
        <v>81</v>
      </c>
      <c r="D111" s="11">
        <v>4</v>
      </c>
      <c r="E111" s="12" t="e">
        <f>TRUNC(#REF!,0)</f>
        <v>#REF!</v>
      </c>
      <c r="F111" s="12" t="e">
        <f t="shared" si="9"/>
        <v>#REF!</v>
      </c>
      <c r="G111" s="12" t="e">
        <f>TRUNC(#REF!,0)</f>
        <v>#REF!</v>
      </c>
      <c r="H111" s="12" t="e">
        <f t="shared" si="10"/>
        <v>#REF!</v>
      </c>
      <c r="I111" s="12" t="e">
        <f>TRUNC(#REF!,0)</f>
        <v>#REF!</v>
      </c>
      <c r="J111" s="12" t="e">
        <f t="shared" si="11"/>
        <v>#REF!</v>
      </c>
      <c r="K111" s="12" t="e">
        <f t="shared" si="12"/>
        <v>#REF!</v>
      </c>
      <c r="L111" s="12" t="e">
        <f t="shared" si="13"/>
        <v>#REF!</v>
      </c>
      <c r="M111" s="13" t="s">
        <v>203</v>
      </c>
      <c r="N111" s="1" t="s">
        <v>204</v>
      </c>
      <c r="O111" s="1" t="s">
        <v>51</v>
      </c>
      <c r="P111" s="1" t="s">
        <v>51</v>
      </c>
      <c r="Q111" s="1" t="s">
        <v>176</v>
      </c>
      <c r="R111" s="1" t="s">
        <v>59</v>
      </c>
      <c r="S111" s="1" t="s">
        <v>60</v>
      </c>
      <c r="T111" s="1" t="s">
        <v>60</v>
      </c>
      <c r="AR111" s="1" t="s">
        <v>51</v>
      </c>
      <c r="AS111" s="1" t="s">
        <v>51</v>
      </c>
      <c r="AU111" s="1" t="s">
        <v>205</v>
      </c>
      <c r="AV111">
        <v>32</v>
      </c>
    </row>
    <row r="112" spans="1:48" ht="30" customHeight="1" x14ac:dyDescent="0.3">
      <c r="A112" s="13" t="s">
        <v>84</v>
      </c>
      <c r="B112" s="13" t="s">
        <v>85</v>
      </c>
      <c r="C112" s="13" t="s">
        <v>86</v>
      </c>
      <c r="D112" s="11">
        <v>139</v>
      </c>
      <c r="E112" s="12" t="e">
        <f>TRUNC(#REF!,0)</f>
        <v>#REF!</v>
      </c>
      <c r="F112" s="12" t="e">
        <f t="shared" si="9"/>
        <v>#REF!</v>
      </c>
      <c r="G112" s="12" t="e">
        <f>TRUNC(#REF!,0)</f>
        <v>#REF!</v>
      </c>
      <c r="H112" s="12" t="e">
        <f t="shared" si="10"/>
        <v>#REF!</v>
      </c>
      <c r="I112" s="12" t="e">
        <f>TRUNC(#REF!,0)</f>
        <v>#REF!</v>
      </c>
      <c r="J112" s="12" t="e">
        <f t="shared" si="11"/>
        <v>#REF!</v>
      </c>
      <c r="K112" s="12" t="e">
        <f t="shared" si="12"/>
        <v>#REF!</v>
      </c>
      <c r="L112" s="12" t="e">
        <f t="shared" si="13"/>
        <v>#REF!</v>
      </c>
      <c r="M112" s="13" t="s">
        <v>87</v>
      </c>
      <c r="N112" s="1" t="s">
        <v>88</v>
      </c>
      <c r="O112" s="1" t="s">
        <v>51</v>
      </c>
      <c r="P112" s="1" t="s">
        <v>51</v>
      </c>
      <c r="Q112" s="1" t="s">
        <v>176</v>
      </c>
      <c r="R112" s="1" t="s">
        <v>59</v>
      </c>
      <c r="S112" s="1" t="s">
        <v>60</v>
      </c>
      <c r="T112" s="1" t="s">
        <v>60</v>
      </c>
      <c r="AR112" s="1" t="s">
        <v>51</v>
      </c>
      <c r="AS112" s="1" t="s">
        <v>51</v>
      </c>
      <c r="AU112" s="1" t="s">
        <v>206</v>
      </c>
      <c r="AV112">
        <v>39</v>
      </c>
    </row>
    <row r="113" spans="1:48" ht="30" customHeight="1" x14ac:dyDescent="0.3">
      <c r="A113" s="13" t="s">
        <v>135</v>
      </c>
      <c r="B113" s="13" t="s">
        <v>136</v>
      </c>
      <c r="C113" s="13" t="s">
        <v>86</v>
      </c>
      <c r="D113" s="11">
        <v>30</v>
      </c>
      <c r="E113" s="12" t="e">
        <f>TRUNC(#REF!,0)</f>
        <v>#REF!</v>
      </c>
      <c r="F113" s="12" t="e">
        <f t="shared" si="9"/>
        <v>#REF!</v>
      </c>
      <c r="G113" s="12" t="e">
        <f>TRUNC(#REF!,0)</f>
        <v>#REF!</v>
      </c>
      <c r="H113" s="12" t="e">
        <f t="shared" si="10"/>
        <v>#REF!</v>
      </c>
      <c r="I113" s="12" t="e">
        <f>TRUNC(#REF!,0)</f>
        <v>#REF!</v>
      </c>
      <c r="J113" s="12" t="e">
        <f t="shared" si="11"/>
        <v>#REF!</v>
      </c>
      <c r="K113" s="12" t="e">
        <f t="shared" si="12"/>
        <v>#REF!</v>
      </c>
      <c r="L113" s="12" t="e">
        <f t="shared" si="13"/>
        <v>#REF!</v>
      </c>
      <c r="M113" s="13" t="s">
        <v>137</v>
      </c>
      <c r="N113" s="1" t="s">
        <v>138</v>
      </c>
      <c r="O113" s="1" t="s">
        <v>51</v>
      </c>
      <c r="P113" s="1" t="s">
        <v>51</v>
      </c>
      <c r="Q113" s="1" t="s">
        <v>176</v>
      </c>
      <c r="R113" s="1" t="s">
        <v>59</v>
      </c>
      <c r="S113" s="1" t="s">
        <v>60</v>
      </c>
      <c r="T113" s="1" t="s">
        <v>60</v>
      </c>
      <c r="AR113" s="1" t="s">
        <v>51</v>
      </c>
      <c r="AS113" s="1" t="s">
        <v>51</v>
      </c>
      <c r="AU113" s="1" t="s">
        <v>207</v>
      </c>
      <c r="AV113">
        <v>34</v>
      </c>
    </row>
    <row r="114" spans="1:48" ht="30" customHeight="1" x14ac:dyDescent="0.3">
      <c r="A114" s="13" t="s">
        <v>169</v>
      </c>
      <c r="B114" s="13" t="s">
        <v>170</v>
      </c>
      <c r="C114" s="13" t="s">
        <v>57</v>
      </c>
      <c r="D114" s="11">
        <v>28</v>
      </c>
      <c r="E114" s="12" t="e">
        <f>TRUNC(#REF!,0)</f>
        <v>#REF!</v>
      </c>
      <c r="F114" s="12" t="e">
        <f t="shared" si="9"/>
        <v>#REF!</v>
      </c>
      <c r="G114" s="12" t="e">
        <f>TRUNC(#REF!,0)</f>
        <v>#REF!</v>
      </c>
      <c r="H114" s="12" t="e">
        <f t="shared" si="10"/>
        <v>#REF!</v>
      </c>
      <c r="I114" s="12" t="e">
        <f>TRUNC(#REF!,0)</f>
        <v>#REF!</v>
      </c>
      <c r="J114" s="12" t="e">
        <f t="shared" si="11"/>
        <v>#REF!</v>
      </c>
      <c r="K114" s="12" t="e">
        <f t="shared" si="12"/>
        <v>#REF!</v>
      </c>
      <c r="L114" s="12" t="e">
        <f t="shared" si="13"/>
        <v>#REF!</v>
      </c>
      <c r="M114" s="13" t="s">
        <v>171</v>
      </c>
      <c r="N114" s="1" t="s">
        <v>172</v>
      </c>
      <c r="O114" s="1" t="s">
        <v>51</v>
      </c>
      <c r="P114" s="1" t="s">
        <v>51</v>
      </c>
      <c r="Q114" s="1" t="s">
        <v>176</v>
      </c>
      <c r="R114" s="1" t="s">
        <v>59</v>
      </c>
      <c r="S114" s="1" t="s">
        <v>60</v>
      </c>
      <c r="T114" s="1" t="s">
        <v>60</v>
      </c>
      <c r="AR114" s="1" t="s">
        <v>51</v>
      </c>
      <c r="AS114" s="1" t="s">
        <v>51</v>
      </c>
      <c r="AU114" s="1" t="s">
        <v>208</v>
      </c>
      <c r="AV114">
        <v>35</v>
      </c>
    </row>
    <row r="115" spans="1:48" ht="30" customHeight="1" x14ac:dyDescent="0.3">
      <c r="A115" s="13" t="s">
        <v>209</v>
      </c>
      <c r="B115" s="13" t="s">
        <v>210</v>
      </c>
      <c r="C115" s="13" t="s">
        <v>142</v>
      </c>
      <c r="D115" s="11">
        <v>28</v>
      </c>
      <c r="E115" s="12" t="e">
        <f>TRUNC(#REF!,0)</f>
        <v>#REF!</v>
      </c>
      <c r="F115" s="12" t="e">
        <f t="shared" si="9"/>
        <v>#REF!</v>
      </c>
      <c r="G115" s="12" t="e">
        <f>TRUNC(#REF!,0)</f>
        <v>#REF!</v>
      </c>
      <c r="H115" s="12" t="e">
        <f t="shared" si="10"/>
        <v>#REF!</v>
      </c>
      <c r="I115" s="12" t="e">
        <f>TRUNC(#REF!,0)</f>
        <v>#REF!</v>
      </c>
      <c r="J115" s="12" t="e">
        <f t="shared" si="11"/>
        <v>#REF!</v>
      </c>
      <c r="K115" s="12" t="e">
        <f t="shared" si="12"/>
        <v>#REF!</v>
      </c>
      <c r="L115" s="12" t="e">
        <f t="shared" si="13"/>
        <v>#REF!</v>
      </c>
      <c r="M115" s="13" t="s">
        <v>211</v>
      </c>
      <c r="N115" s="1" t="s">
        <v>212</v>
      </c>
      <c r="O115" s="1" t="s">
        <v>51</v>
      </c>
      <c r="P115" s="1" t="s">
        <v>51</v>
      </c>
      <c r="Q115" s="1" t="s">
        <v>176</v>
      </c>
      <c r="R115" s="1" t="s">
        <v>59</v>
      </c>
      <c r="S115" s="1" t="s">
        <v>60</v>
      </c>
      <c r="T115" s="1" t="s">
        <v>60</v>
      </c>
      <c r="AR115" s="1" t="s">
        <v>51</v>
      </c>
      <c r="AS115" s="1" t="s">
        <v>51</v>
      </c>
      <c r="AU115" s="1" t="s">
        <v>213</v>
      </c>
      <c r="AV115">
        <v>36</v>
      </c>
    </row>
    <row r="116" spans="1:48" ht="30" customHeight="1" x14ac:dyDescent="0.3">
      <c r="A116" s="13" t="s">
        <v>140</v>
      </c>
      <c r="B116" s="13" t="s">
        <v>141</v>
      </c>
      <c r="C116" s="13" t="s">
        <v>142</v>
      </c>
      <c r="D116" s="11">
        <v>5</v>
      </c>
      <c r="E116" s="12" t="e">
        <f>TRUNC(#REF!,0)</f>
        <v>#REF!</v>
      </c>
      <c r="F116" s="12" t="e">
        <f t="shared" si="9"/>
        <v>#REF!</v>
      </c>
      <c r="G116" s="12" t="e">
        <f>TRUNC(#REF!,0)</f>
        <v>#REF!</v>
      </c>
      <c r="H116" s="12" t="e">
        <f t="shared" si="10"/>
        <v>#REF!</v>
      </c>
      <c r="I116" s="12" t="e">
        <f>TRUNC(#REF!,0)</f>
        <v>#REF!</v>
      </c>
      <c r="J116" s="12" t="e">
        <f t="shared" si="11"/>
        <v>#REF!</v>
      </c>
      <c r="K116" s="12" t="e">
        <f t="shared" si="12"/>
        <v>#REF!</v>
      </c>
      <c r="L116" s="12" t="e">
        <f t="shared" si="13"/>
        <v>#REF!</v>
      </c>
      <c r="M116" s="13" t="s">
        <v>143</v>
      </c>
      <c r="N116" s="1" t="s">
        <v>144</v>
      </c>
      <c r="O116" s="1" t="s">
        <v>51</v>
      </c>
      <c r="P116" s="1" t="s">
        <v>51</v>
      </c>
      <c r="Q116" s="1" t="s">
        <v>176</v>
      </c>
      <c r="R116" s="1" t="s">
        <v>59</v>
      </c>
      <c r="S116" s="1" t="s">
        <v>60</v>
      </c>
      <c r="T116" s="1" t="s">
        <v>60</v>
      </c>
      <c r="AR116" s="1" t="s">
        <v>51</v>
      </c>
      <c r="AS116" s="1" t="s">
        <v>51</v>
      </c>
      <c r="AU116" s="1" t="s">
        <v>214</v>
      </c>
      <c r="AV116">
        <v>37</v>
      </c>
    </row>
    <row r="117" spans="1:48" ht="30" customHeight="1" x14ac:dyDescent="0.3">
      <c r="A117" s="11"/>
      <c r="B117" s="11"/>
      <c r="C117" s="11"/>
      <c r="D117" s="11"/>
      <c r="E117" s="12"/>
      <c r="F117" s="12"/>
      <c r="G117" s="12"/>
      <c r="H117" s="12"/>
      <c r="I117" s="12"/>
      <c r="J117" s="12"/>
      <c r="K117" s="12"/>
      <c r="L117" s="12"/>
      <c r="M117" s="11"/>
      <c r="Q117" s="1" t="s">
        <v>176</v>
      </c>
    </row>
    <row r="118" spans="1:48" ht="30" customHeight="1" x14ac:dyDescent="0.3">
      <c r="A118" s="11"/>
      <c r="B118" s="11"/>
      <c r="C118" s="11"/>
      <c r="D118" s="11"/>
      <c r="E118" s="12"/>
      <c r="F118" s="12"/>
      <c r="G118" s="12"/>
      <c r="H118" s="12"/>
      <c r="I118" s="12"/>
      <c r="J118" s="12"/>
      <c r="K118" s="12"/>
      <c r="L118" s="12"/>
      <c r="M118" s="11"/>
      <c r="Q118" s="1" t="s">
        <v>176</v>
      </c>
    </row>
    <row r="119" spans="1:48" ht="30" customHeight="1" x14ac:dyDescent="0.3">
      <c r="A119" s="11"/>
      <c r="B119" s="11"/>
      <c r="C119" s="11"/>
      <c r="D119" s="11"/>
      <c r="E119" s="12"/>
      <c r="F119" s="12"/>
      <c r="G119" s="12"/>
      <c r="H119" s="12"/>
      <c r="I119" s="12"/>
      <c r="J119" s="12"/>
      <c r="K119" s="12"/>
      <c r="L119" s="12"/>
      <c r="M119" s="11"/>
      <c r="Q119" s="1" t="s">
        <v>176</v>
      </c>
    </row>
    <row r="120" spans="1:48" ht="30" customHeight="1" x14ac:dyDescent="0.3">
      <c r="A120" s="11"/>
      <c r="B120" s="11"/>
      <c r="C120" s="11"/>
      <c r="D120" s="11"/>
      <c r="E120" s="12"/>
      <c r="F120" s="12"/>
      <c r="G120" s="12"/>
      <c r="H120" s="12"/>
      <c r="I120" s="12"/>
      <c r="J120" s="12"/>
      <c r="K120" s="12"/>
      <c r="L120" s="12"/>
      <c r="M120" s="11"/>
      <c r="Q120" s="1" t="s">
        <v>176</v>
      </c>
    </row>
    <row r="121" spans="1:48" ht="30" customHeight="1" x14ac:dyDescent="0.3">
      <c r="A121" s="11"/>
      <c r="B121" s="11"/>
      <c r="C121" s="11"/>
      <c r="D121" s="11"/>
      <c r="E121" s="12"/>
      <c r="F121" s="12"/>
      <c r="G121" s="12"/>
      <c r="H121" s="12"/>
      <c r="I121" s="12"/>
      <c r="J121" s="12"/>
      <c r="K121" s="12"/>
      <c r="L121" s="12"/>
      <c r="M121" s="11"/>
      <c r="Q121" s="1" t="s">
        <v>176</v>
      </c>
    </row>
    <row r="122" spans="1:48" ht="30" customHeight="1" x14ac:dyDescent="0.3">
      <c r="A122" s="11"/>
      <c r="B122" s="11"/>
      <c r="C122" s="11"/>
      <c r="D122" s="11"/>
      <c r="E122" s="12"/>
      <c r="F122" s="12"/>
      <c r="G122" s="12"/>
      <c r="H122" s="12"/>
      <c r="I122" s="12"/>
      <c r="J122" s="12"/>
      <c r="K122" s="12"/>
      <c r="L122" s="12"/>
      <c r="M122" s="11"/>
      <c r="Q122" s="1" t="s">
        <v>176</v>
      </c>
    </row>
    <row r="123" spans="1:48" ht="30" customHeight="1" x14ac:dyDescent="0.3">
      <c r="A123" s="13" t="s">
        <v>94</v>
      </c>
      <c r="B123" s="11"/>
      <c r="C123" s="11"/>
      <c r="D123" s="11"/>
      <c r="E123" s="12"/>
      <c r="F123" s="12" t="e">
        <f>SUMIF(Q101:Q122,"0105",F101:F122)</f>
        <v>#REF!</v>
      </c>
      <c r="G123" s="12"/>
      <c r="H123" s="12" t="e">
        <f>SUMIF(Q101:Q122,"0105",H101:H122)</f>
        <v>#REF!</v>
      </c>
      <c r="I123" s="12"/>
      <c r="J123" s="12" t="e">
        <f>SUMIF(Q101:Q122,"0105",J101:J122)</f>
        <v>#REF!</v>
      </c>
      <c r="K123" s="12"/>
      <c r="L123" s="12" t="e">
        <f>SUMIF(Q101:Q122,"0105",L101:L122)</f>
        <v>#REF!</v>
      </c>
      <c r="M123" s="11"/>
      <c r="N123" t="s">
        <v>95</v>
      </c>
    </row>
    <row r="124" spans="1:48" ht="30" customHeight="1" x14ac:dyDescent="0.3">
      <c r="A124" s="13" t="s">
        <v>215</v>
      </c>
      <c r="B124" s="13" t="s">
        <v>51</v>
      </c>
      <c r="C124" s="11"/>
      <c r="D124" s="11"/>
      <c r="E124" s="12"/>
      <c r="F124" s="12"/>
      <c r="G124" s="12"/>
      <c r="H124" s="12"/>
      <c r="I124" s="12"/>
      <c r="J124" s="12"/>
      <c r="K124" s="12"/>
      <c r="L124" s="12"/>
      <c r="M124" s="11"/>
      <c r="Q124" s="1" t="s">
        <v>216</v>
      </c>
    </row>
    <row r="125" spans="1:48" ht="30" customHeight="1" x14ac:dyDescent="0.3">
      <c r="A125" s="13" t="s">
        <v>217</v>
      </c>
      <c r="B125" s="13" t="s">
        <v>218</v>
      </c>
      <c r="C125" s="13" t="s">
        <v>86</v>
      </c>
      <c r="D125" s="11">
        <v>130</v>
      </c>
      <c r="E125" s="12" t="e">
        <f>TRUNC(#REF!,0)</f>
        <v>#REF!</v>
      </c>
      <c r="F125" s="12" t="e">
        <f>TRUNC(E125*D125, 0)</f>
        <v>#REF!</v>
      </c>
      <c r="G125" s="12" t="e">
        <f>TRUNC(#REF!,0)</f>
        <v>#REF!</v>
      </c>
      <c r="H125" s="12" t="e">
        <f>TRUNC(G125*D125, 0)</f>
        <v>#REF!</v>
      </c>
      <c r="I125" s="12" t="e">
        <f>TRUNC(#REF!,0)</f>
        <v>#REF!</v>
      </c>
      <c r="J125" s="12" t="e">
        <f>TRUNC(I125*D125, 0)</f>
        <v>#REF!</v>
      </c>
      <c r="K125" s="12" t="e">
        <f t="shared" ref="K125:L129" si="14">TRUNC(E125+G125+I125, 0)</f>
        <v>#REF!</v>
      </c>
      <c r="L125" s="12" t="e">
        <f t="shared" si="14"/>
        <v>#REF!</v>
      </c>
      <c r="M125" s="13" t="s">
        <v>219</v>
      </c>
      <c r="N125" s="1" t="s">
        <v>220</v>
      </c>
      <c r="O125" s="1" t="s">
        <v>51</v>
      </c>
      <c r="P125" s="1" t="s">
        <v>51</v>
      </c>
      <c r="Q125" s="1" t="s">
        <v>216</v>
      </c>
      <c r="R125" s="1" t="s">
        <v>59</v>
      </c>
      <c r="S125" s="1" t="s">
        <v>60</v>
      </c>
      <c r="T125" s="1" t="s">
        <v>60</v>
      </c>
      <c r="AR125" s="1" t="s">
        <v>51</v>
      </c>
      <c r="AS125" s="1" t="s">
        <v>51</v>
      </c>
      <c r="AU125" s="1" t="s">
        <v>221</v>
      </c>
      <c r="AV125">
        <v>52</v>
      </c>
    </row>
    <row r="126" spans="1:48" ht="30" customHeight="1" x14ac:dyDescent="0.3">
      <c r="A126" s="13" t="s">
        <v>222</v>
      </c>
      <c r="B126" s="13" t="s">
        <v>223</v>
      </c>
      <c r="C126" s="13" t="s">
        <v>57</v>
      </c>
      <c r="D126" s="11">
        <v>65</v>
      </c>
      <c r="E126" s="12" t="e">
        <f>TRUNC(#REF!,0)</f>
        <v>#REF!</v>
      </c>
      <c r="F126" s="12" t="e">
        <f>TRUNC(E126*D126, 0)</f>
        <v>#REF!</v>
      </c>
      <c r="G126" s="12" t="e">
        <f>TRUNC(#REF!,0)</f>
        <v>#REF!</v>
      </c>
      <c r="H126" s="12" t="e">
        <f>TRUNC(G126*D126, 0)</f>
        <v>#REF!</v>
      </c>
      <c r="I126" s="12" t="e">
        <f>TRUNC(#REF!,0)</f>
        <v>#REF!</v>
      </c>
      <c r="J126" s="12" t="e">
        <f>TRUNC(I126*D126, 0)</f>
        <v>#REF!</v>
      </c>
      <c r="K126" s="12" t="e">
        <f t="shared" si="14"/>
        <v>#REF!</v>
      </c>
      <c r="L126" s="12" t="e">
        <f t="shared" si="14"/>
        <v>#REF!</v>
      </c>
      <c r="M126" s="13" t="s">
        <v>224</v>
      </c>
      <c r="N126" s="1" t="s">
        <v>225</v>
      </c>
      <c r="O126" s="1" t="s">
        <v>51</v>
      </c>
      <c r="P126" s="1" t="s">
        <v>51</v>
      </c>
      <c r="Q126" s="1" t="s">
        <v>216</v>
      </c>
      <c r="R126" s="1" t="s">
        <v>59</v>
      </c>
      <c r="S126" s="1" t="s">
        <v>60</v>
      </c>
      <c r="T126" s="1" t="s">
        <v>60</v>
      </c>
      <c r="AR126" s="1" t="s">
        <v>51</v>
      </c>
      <c r="AS126" s="1" t="s">
        <v>51</v>
      </c>
      <c r="AU126" s="1" t="s">
        <v>226</v>
      </c>
      <c r="AV126">
        <v>51</v>
      </c>
    </row>
    <row r="127" spans="1:48" ht="30" customHeight="1" x14ac:dyDescent="0.3">
      <c r="A127" s="13" t="s">
        <v>135</v>
      </c>
      <c r="B127" s="13" t="s">
        <v>136</v>
      </c>
      <c r="C127" s="13" t="s">
        <v>86</v>
      </c>
      <c r="D127" s="11">
        <v>65</v>
      </c>
      <c r="E127" s="12" t="e">
        <f>TRUNC(#REF!,0)</f>
        <v>#REF!</v>
      </c>
      <c r="F127" s="12" t="e">
        <f>TRUNC(E127*D127, 0)</f>
        <v>#REF!</v>
      </c>
      <c r="G127" s="12" t="e">
        <f>TRUNC(#REF!,0)</f>
        <v>#REF!</v>
      </c>
      <c r="H127" s="12" t="e">
        <f>TRUNC(G127*D127, 0)</f>
        <v>#REF!</v>
      </c>
      <c r="I127" s="12" t="e">
        <f>TRUNC(#REF!,0)</f>
        <v>#REF!</v>
      </c>
      <c r="J127" s="12" t="e">
        <f>TRUNC(I127*D127, 0)</f>
        <v>#REF!</v>
      </c>
      <c r="K127" s="12" t="e">
        <f t="shared" si="14"/>
        <v>#REF!</v>
      </c>
      <c r="L127" s="12" t="e">
        <f t="shared" si="14"/>
        <v>#REF!</v>
      </c>
      <c r="M127" s="13" t="s">
        <v>137</v>
      </c>
      <c r="N127" s="1" t="s">
        <v>138</v>
      </c>
      <c r="O127" s="1" t="s">
        <v>51</v>
      </c>
      <c r="P127" s="1" t="s">
        <v>51</v>
      </c>
      <c r="Q127" s="1" t="s">
        <v>216</v>
      </c>
      <c r="R127" s="1" t="s">
        <v>59</v>
      </c>
      <c r="S127" s="1" t="s">
        <v>60</v>
      </c>
      <c r="T127" s="1" t="s">
        <v>60</v>
      </c>
      <c r="AR127" s="1" t="s">
        <v>51</v>
      </c>
      <c r="AS127" s="1" t="s">
        <v>51</v>
      </c>
      <c r="AU127" s="1" t="s">
        <v>227</v>
      </c>
      <c r="AV127">
        <v>53</v>
      </c>
    </row>
    <row r="128" spans="1:48" ht="30" customHeight="1" x14ac:dyDescent="0.3">
      <c r="A128" s="13" t="s">
        <v>228</v>
      </c>
      <c r="B128" s="13" t="s">
        <v>229</v>
      </c>
      <c r="C128" s="13" t="s">
        <v>230</v>
      </c>
      <c r="D128" s="11">
        <v>55</v>
      </c>
      <c r="E128" s="12" t="e">
        <f>TRUNC(#REF!,0)</f>
        <v>#REF!</v>
      </c>
      <c r="F128" s="12" t="e">
        <f>TRUNC(E128*D128, 0)</f>
        <v>#REF!</v>
      </c>
      <c r="G128" s="12" t="e">
        <f>TRUNC(#REF!,0)</f>
        <v>#REF!</v>
      </c>
      <c r="H128" s="12" t="e">
        <f>TRUNC(G128*D128, 0)</f>
        <v>#REF!</v>
      </c>
      <c r="I128" s="12" t="e">
        <f>TRUNC(#REF!,0)</f>
        <v>#REF!</v>
      </c>
      <c r="J128" s="12" t="e">
        <f>TRUNC(I128*D128, 0)</f>
        <v>#REF!</v>
      </c>
      <c r="K128" s="12" t="e">
        <f t="shared" si="14"/>
        <v>#REF!</v>
      </c>
      <c r="L128" s="12" t="e">
        <f t="shared" si="14"/>
        <v>#REF!</v>
      </c>
      <c r="M128" s="13" t="s">
        <v>231</v>
      </c>
      <c r="N128" s="1" t="s">
        <v>232</v>
      </c>
      <c r="O128" s="1" t="s">
        <v>51</v>
      </c>
      <c r="P128" s="1" t="s">
        <v>51</v>
      </c>
      <c r="Q128" s="1" t="s">
        <v>216</v>
      </c>
      <c r="R128" s="1" t="s">
        <v>60</v>
      </c>
      <c r="S128" s="1" t="s">
        <v>59</v>
      </c>
      <c r="T128" s="1" t="s">
        <v>60</v>
      </c>
      <c r="AR128" s="1" t="s">
        <v>51</v>
      </c>
      <c r="AS128" s="1" t="s">
        <v>51</v>
      </c>
      <c r="AU128" s="1" t="s">
        <v>233</v>
      </c>
      <c r="AV128">
        <v>54</v>
      </c>
    </row>
    <row r="129" spans="1:48" ht="30" customHeight="1" x14ac:dyDescent="0.3">
      <c r="A129" s="13" t="s">
        <v>234</v>
      </c>
      <c r="B129" s="13" t="s">
        <v>235</v>
      </c>
      <c r="C129" s="13" t="s">
        <v>230</v>
      </c>
      <c r="D129" s="11">
        <v>55</v>
      </c>
      <c r="E129" s="12" t="e">
        <f>TRUNC(#REF!,0)</f>
        <v>#REF!</v>
      </c>
      <c r="F129" s="12" t="e">
        <f>TRUNC(E129*D129, 0)</f>
        <v>#REF!</v>
      </c>
      <c r="G129" s="12" t="e">
        <f>TRUNC(#REF!,0)</f>
        <v>#REF!</v>
      </c>
      <c r="H129" s="12" t="e">
        <f>TRUNC(G129*D129, 0)</f>
        <v>#REF!</v>
      </c>
      <c r="I129" s="12" t="e">
        <f>TRUNC(#REF!,0)</f>
        <v>#REF!</v>
      </c>
      <c r="J129" s="12" t="e">
        <f>TRUNC(I129*D129, 0)</f>
        <v>#REF!</v>
      </c>
      <c r="K129" s="12" t="e">
        <f t="shared" si="14"/>
        <v>#REF!</v>
      </c>
      <c r="L129" s="12" t="e">
        <f t="shared" si="14"/>
        <v>#REF!</v>
      </c>
      <c r="M129" s="13" t="s">
        <v>236</v>
      </c>
      <c r="N129" s="1" t="s">
        <v>237</v>
      </c>
      <c r="O129" s="1" t="s">
        <v>51</v>
      </c>
      <c r="P129" s="1" t="s">
        <v>51</v>
      </c>
      <c r="Q129" s="1" t="s">
        <v>216</v>
      </c>
      <c r="R129" s="1" t="s">
        <v>60</v>
      </c>
      <c r="S129" s="1" t="s">
        <v>59</v>
      </c>
      <c r="T129" s="1" t="s">
        <v>60</v>
      </c>
      <c r="AR129" s="1" t="s">
        <v>51</v>
      </c>
      <c r="AS129" s="1" t="s">
        <v>51</v>
      </c>
      <c r="AU129" s="1" t="s">
        <v>238</v>
      </c>
      <c r="AV129">
        <v>55</v>
      </c>
    </row>
    <row r="130" spans="1:48" ht="30" customHeight="1" x14ac:dyDescent="0.3">
      <c r="A130" s="11"/>
      <c r="B130" s="11"/>
      <c r="C130" s="11"/>
      <c r="D130" s="11"/>
      <c r="E130" s="12"/>
      <c r="F130" s="12"/>
      <c r="G130" s="12"/>
      <c r="H130" s="12"/>
      <c r="I130" s="12"/>
      <c r="J130" s="12"/>
      <c r="K130" s="12"/>
      <c r="L130" s="12"/>
      <c r="M130" s="11"/>
      <c r="Q130" s="1" t="s">
        <v>216</v>
      </c>
    </row>
    <row r="131" spans="1:48" ht="30" customHeight="1" x14ac:dyDescent="0.3">
      <c r="A131" s="11"/>
      <c r="B131" s="11"/>
      <c r="C131" s="11"/>
      <c r="D131" s="11"/>
      <c r="E131" s="12"/>
      <c r="F131" s="12"/>
      <c r="G131" s="12"/>
      <c r="H131" s="12"/>
      <c r="I131" s="12"/>
      <c r="J131" s="12"/>
      <c r="K131" s="12"/>
      <c r="L131" s="12"/>
      <c r="M131" s="11"/>
      <c r="Q131" s="1" t="s">
        <v>216</v>
      </c>
    </row>
    <row r="132" spans="1:48" ht="30" customHeight="1" x14ac:dyDescent="0.3">
      <c r="A132" s="11"/>
      <c r="B132" s="11"/>
      <c r="C132" s="11"/>
      <c r="D132" s="11"/>
      <c r="E132" s="12"/>
      <c r="F132" s="12"/>
      <c r="G132" s="12"/>
      <c r="H132" s="12"/>
      <c r="I132" s="12"/>
      <c r="J132" s="12"/>
      <c r="K132" s="12"/>
      <c r="L132" s="12"/>
      <c r="M132" s="11"/>
      <c r="Q132" s="1" t="s">
        <v>216</v>
      </c>
    </row>
    <row r="133" spans="1:48" ht="30" customHeight="1" x14ac:dyDescent="0.3">
      <c r="A133" s="11"/>
      <c r="B133" s="11"/>
      <c r="C133" s="11"/>
      <c r="D133" s="11"/>
      <c r="E133" s="12"/>
      <c r="F133" s="12"/>
      <c r="G133" s="12"/>
      <c r="H133" s="12"/>
      <c r="I133" s="12"/>
      <c r="J133" s="12"/>
      <c r="K133" s="12"/>
      <c r="L133" s="12"/>
      <c r="M133" s="11"/>
      <c r="Q133" s="1" t="s">
        <v>216</v>
      </c>
    </row>
    <row r="134" spans="1:48" ht="30" customHeight="1" x14ac:dyDescent="0.3">
      <c r="A134" s="11"/>
      <c r="B134" s="11"/>
      <c r="C134" s="11"/>
      <c r="D134" s="11"/>
      <c r="E134" s="12"/>
      <c r="F134" s="12"/>
      <c r="G134" s="12"/>
      <c r="H134" s="12"/>
      <c r="I134" s="12"/>
      <c r="J134" s="12"/>
      <c r="K134" s="12"/>
      <c r="L134" s="12"/>
      <c r="M134" s="11"/>
      <c r="Q134" s="1" t="s">
        <v>216</v>
      </c>
    </row>
    <row r="135" spans="1:48" ht="30" customHeight="1" x14ac:dyDescent="0.3">
      <c r="A135" s="11"/>
      <c r="B135" s="11"/>
      <c r="C135" s="11"/>
      <c r="D135" s="11"/>
      <c r="E135" s="12"/>
      <c r="F135" s="12"/>
      <c r="G135" s="12"/>
      <c r="H135" s="12"/>
      <c r="I135" s="12"/>
      <c r="J135" s="12"/>
      <c r="K135" s="12"/>
      <c r="L135" s="12"/>
      <c r="M135" s="11"/>
      <c r="Q135" s="1" t="s">
        <v>216</v>
      </c>
    </row>
    <row r="136" spans="1:48" ht="30" customHeight="1" x14ac:dyDescent="0.3">
      <c r="A136" s="11"/>
      <c r="B136" s="11"/>
      <c r="C136" s="11"/>
      <c r="D136" s="11"/>
      <c r="E136" s="12"/>
      <c r="F136" s="12"/>
      <c r="G136" s="12"/>
      <c r="H136" s="12"/>
      <c r="I136" s="12"/>
      <c r="J136" s="12"/>
      <c r="K136" s="12"/>
      <c r="L136" s="12"/>
      <c r="M136" s="11"/>
      <c r="Q136" s="1" t="s">
        <v>216</v>
      </c>
    </row>
    <row r="137" spans="1:48" ht="30" customHeight="1" x14ac:dyDescent="0.3">
      <c r="A137" s="11"/>
      <c r="B137" s="11"/>
      <c r="C137" s="11"/>
      <c r="D137" s="11"/>
      <c r="E137" s="12"/>
      <c r="F137" s="12"/>
      <c r="G137" s="12"/>
      <c r="H137" s="12"/>
      <c r="I137" s="12"/>
      <c r="J137" s="12"/>
      <c r="K137" s="12"/>
      <c r="L137" s="12"/>
      <c r="M137" s="11"/>
      <c r="Q137" s="1" t="s">
        <v>216</v>
      </c>
    </row>
    <row r="138" spans="1:48" ht="30" customHeight="1" x14ac:dyDescent="0.3">
      <c r="A138" s="11"/>
      <c r="B138" s="11"/>
      <c r="C138" s="11"/>
      <c r="D138" s="11"/>
      <c r="E138" s="12"/>
      <c r="F138" s="12"/>
      <c r="G138" s="12"/>
      <c r="H138" s="12"/>
      <c r="I138" s="12"/>
      <c r="J138" s="12"/>
      <c r="K138" s="12"/>
      <c r="L138" s="12"/>
      <c r="M138" s="11"/>
      <c r="Q138" s="1" t="s">
        <v>216</v>
      </c>
    </row>
    <row r="139" spans="1:48" ht="30" customHeight="1" x14ac:dyDescent="0.3">
      <c r="A139" s="11"/>
      <c r="B139" s="11"/>
      <c r="C139" s="11"/>
      <c r="D139" s="11"/>
      <c r="E139" s="12"/>
      <c r="F139" s="12"/>
      <c r="G139" s="12"/>
      <c r="H139" s="12"/>
      <c r="I139" s="12"/>
      <c r="J139" s="12"/>
      <c r="K139" s="12"/>
      <c r="L139" s="12"/>
      <c r="M139" s="11"/>
      <c r="Q139" s="1" t="s">
        <v>216</v>
      </c>
    </row>
    <row r="140" spans="1:48" ht="30" customHeight="1" x14ac:dyDescent="0.3">
      <c r="A140" s="11"/>
      <c r="B140" s="11"/>
      <c r="C140" s="11"/>
      <c r="D140" s="11"/>
      <c r="E140" s="12"/>
      <c r="F140" s="12"/>
      <c r="G140" s="12"/>
      <c r="H140" s="12"/>
      <c r="I140" s="12"/>
      <c r="J140" s="12"/>
      <c r="K140" s="12"/>
      <c r="L140" s="12"/>
      <c r="M140" s="11"/>
      <c r="Q140" s="1" t="s">
        <v>216</v>
      </c>
    </row>
    <row r="141" spans="1:48" ht="30" customHeight="1" x14ac:dyDescent="0.3">
      <c r="A141" s="11"/>
      <c r="B141" s="11"/>
      <c r="C141" s="11"/>
      <c r="D141" s="11"/>
      <c r="E141" s="12"/>
      <c r="F141" s="12"/>
      <c r="G141" s="12"/>
      <c r="H141" s="12"/>
      <c r="I141" s="12"/>
      <c r="J141" s="12"/>
      <c r="K141" s="12"/>
      <c r="L141" s="12"/>
      <c r="M141" s="11"/>
      <c r="Q141" s="1" t="s">
        <v>216</v>
      </c>
    </row>
    <row r="142" spans="1:48" ht="30" customHeight="1" x14ac:dyDescent="0.3">
      <c r="A142" s="11"/>
      <c r="B142" s="11"/>
      <c r="C142" s="11"/>
      <c r="D142" s="11"/>
      <c r="E142" s="12"/>
      <c r="F142" s="12"/>
      <c r="G142" s="12"/>
      <c r="H142" s="12"/>
      <c r="I142" s="12"/>
      <c r="J142" s="12"/>
      <c r="K142" s="12"/>
      <c r="L142" s="12"/>
      <c r="M142" s="11"/>
      <c r="Q142" s="1" t="s">
        <v>216</v>
      </c>
    </row>
    <row r="143" spans="1:48" ht="30" customHeight="1" x14ac:dyDescent="0.3">
      <c r="A143" s="11"/>
      <c r="B143" s="11"/>
      <c r="C143" s="11"/>
      <c r="D143" s="11"/>
      <c r="E143" s="12"/>
      <c r="F143" s="12"/>
      <c r="G143" s="12"/>
      <c r="H143" s="12"/>
      <c r="I143" s="12"/>
      <c r="J143" s="12"/>
      <c r="K143" s="12"/>
      <c r="L143" s="12"/>
      <c r="M143" s="11"/>
      <c r="Q143" s="1" t="s">
        <v>216</v>
      </c>
    </row>
    <row r="144" spans="1:48" ht="30" customHeight="1" x14ac:dyDescent="0.3">
      <c r="A144" s="11"/>
      <c r="B144" s="11"/>
      <c r="C144" s="11"/>
      <c r="D144" s="11"/>
      <c r="E144" s="12"/>
      <c r="F144" s="12"/>
      <c r="G144" s="12"/>
      <c r="H144" s="12"/>
      <c r="I144" s="12"/>
      <c r="J144" s="12"/>
      <c r="K144" s="12"/>
      <c r="L144" s="12"/>
      <c r="M144" s="11"/>
      <c r="Q144" s="1" t="s">
        <v>216</v>
      </c>
    </row>
    <row r="145" spans="1:17" ht="30" customHeight="1" x14ac:dyDescent="0.3">
      <c r="A145" s="11"/>
      <c r="B145" s="11"/>
      <c r="C145" s="11"/>
      <c r="D145" s="11"/>
      <c r="E145" s="12"/>
      <c r="F145" s="12"/>
      <c r="G145" s="12"/>
      <c r="H145" s="12"/>
      <c r="I145" s="12"/>
      <c r="J145" s="12"/>
      <c r="K145" s="12"/>
      <c r="L145" s="12"/>
      <c r="M145" s="11"/>
      <c r="Q145" s="1" t="s">
        <v>216</v>
      </c>
    </row>
    <row r="146" spans="1:17" ht="30" customHeight="1" x14ac:dyDescent="0.3">
      <c r="A146" s="11"/>
      <c r="B146" s="11"/>
      <c r="C146" s="11"/>
      <c r="D146" s="11"/>
      <c r="E146" s="12"/>
      <c r="F146" s="12"/>
      <c r="G146" s="12"/>
      <c r="H146" s="12"/>
      <c r="I146" s="12"/>
      <c r="J146" s="12"/>
      <c r="K146" s="12"/>
      <c r="L146" s="12"/>
      <c r="M146" s="11"/>
      <c r="Q146" s="1" t="s">
        <v>216</v>
      </c>
    </row>
    <row r="147" spans="1:17" ht="30" customHeight="1" x14ac:dyDescent="0.3">
      <c r="A147" s="13" t="s">
        <v>94</v>
      </c>
      <c r="B147" s="11"/>
      <c r="C147" s="11"/>
      <c r="D147" s="11"/>
      <c r="E147" s="12"/>
      <c r="F147" s="12" t="e">
        <f>SUMIF(Q125:Q146,"0106",F125:F146)</f>
        <v>#REF!</v>
      </c>
      <c r="G147" s="12"/>
      <c r="H147" s="12" t="e">
        <f>SUMIF(Q125:Q146,"0106",H125:H146)</f>
        <v>#REF!</v>
      </c>
      <c r="I147" s="12"/>
      <c r="J147" s="12" t="e">
        <f>SUMIF(Q125:Q146,"0106",J125:J146)</f>
        <v>#REF!</v>
      </c>
      <c r="K147" s="12"/>
      <c r="L147" s="12" t="e">
        <f>SUMIF(Q125:Q146,"0106",L125:L146)</f>
        <v>#REF!</v>
      </c>
      <c r="M147" s="11"/>
      <c r="N147" t="s">
        <v>95</v>
      </c>
    </row>
  </sheetData>
  <mergeCells count="44">
    <mergeCell ref="AU2:AU3"/>
    <mergeCell ref="AV2:AV3"/>
    <mergeCell ref="AO2:AO3"/>
    <mergeCell ref="AP2:AP3"/>
    <mergeCell ref="AQ2:AQ3"/>
    <mergeCell ref="AR2:AR3"/>
    <mergeCell ref="AS2:AS3"/>
    <mergeCell ref="AT2:AT3"/>
    <mergeCell ref="AN2:AN3"/>
    <mergeCell ref="AC2:AC3"/>
    <mergeCell ref="AD2:AD3"/>
    <mergeCell ref="AE2:AE3"/>
    <mergeCell ref="AF2:AF3"/>
    <mergeCell ref="AG2:AG3"/>
    <mergeCell ref="AH2:AH3"/>
    <mergeCell ref="AI2:AI3"/>
    <mergeCell ref="AJ2:AJ3"/>
    <mergeCell ref="AK2:AK3"/>
    <mergeCell ref="AL2:AL3"/>
    <mergeCell ref="AM2:AM3"/>
    <mergeCell ref="AB2:AB3"/>
    <mergeCell ref="Q2:Q3"/>
    <mergeCell ref="R2:R3"/>
    <mergeCell ref="S2:S3"/>
    <mergeCell ref="T2:T3"/>
    <mergeCell ref="U2:U3"/>
    <mergeCell ref="V2:V3"/>
    <mergeCell ref="W2:W3"/>
    <mergeCell ref="X2:X3"/>
    <mergeCell ref="Y2:Y3"/>
    <mergeCell ref="Z2:Z3"/>
    <mergeCell ref="AA2:AA3"/>
    <mergeCell ref="P2:P3"/>
    <mergeCell ref="A2:A3"/>
    <mergeCell ref="B2:B3"/>
    <mergeCell ref="C2:C3"/>
    <mergeCell ref="D2:D3"/>
    <mergeCell ref="E2:F2"/>
    <mergeCell ref="G2:H2"/>
    <mergeCell ref="I2:J2"/>
    <mergeCell ref="K2:L2"/>
    <mergeCell ref="M2:M3"/>
    <mergeCell ref="N2:N3"/>
    <mergeCell ref="O2:O3"/>
  </mergeCells>
  <phoneticPr fontId="1" type="noConversion"/>
  <pageMargins left="0.78740157480314954" right="0" top="0.39370078740157477" bottom="0.39370078740157477" header="0" footer="0"/>
  <pageSetup paperSize="9" scale="65" fitToHeight="0" orientation="landscape" horizontalDpi="1200" verticalDpi="1200" r:id="rId1"/>
  <rowBreaks count="6" manualBreakCount="6">
    <brk id="27" max="16383" man="1"/>
    <brk id="51" max="16383" man="1"/>
    <brk id="75" max="16383" man="1"/>
    <brk id="99" max="16383" man="1"/>
    <brk id="123" max="16383" man="1"/>
    <brk id="147"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0F62D7-6788-4BEB-9B10-56268E4F1C8A}">
  <sheetPr>
    <pageSetUpPr fitToPage="1"/>
  </sheetPr>
  <dimension ref="A1:T9"/>
  <sheetViews>
    <sheetView workbookViewId="0">
      <selection sqref="A1:P1"/>
    </sheetView>
  </sheetViews>
  <sheetFormatPr defaultRowHeight="16.5" x14ac:dyDescent="0.3"/>
  <cols>
    <col min="1" max="1" width="11.625" customWidth="1"/>
    <col min="2" max="3" width="30.625" customWidth="1"/>
    <col min="4" max="4" width="4.625" customWidth="1"/>
    <col min="5" max="5" width="12.625" customWidth="1"/>
    <col min="6" max="6" width="13.625" customWidth="1"/>
    <col min="7" max="7" width="4.625" customWidth="1"/>
    <col min="8" max="10" width="10.625" customWidth="1"/>
    <col min="11" max="11" width="13.625" customWidth="1"/>
    <col min="12" max="12" width="30.625" customWidth="1"/>
    <col min="13" max="14" width="13.625" customWidth="1"/>
    <col min="15" max="15" width="8.625" customWidth="1"/>
    <col min="16" max="16" width="12.625" customWidth="1"/>
    <col min="17" max="18" width="11.625" customWidth="1"/>
    <col min="19" max="19" width="13.625" customWidth="1"/>
    <col min="20" max="20" width="24.625" customWidth="1"/>
  </cols>
  <sheetData>
    <row r="1" spans="1:20" ht="30" customHeight="1" x14ac:dyDescent="0.3">
      <c r="A1" s="629" t="s">
        <v>255</v>
      </c>
      <c r="B1" s="629"/>
      <c r="C1" s="629"/>
      <c r="D1" s="629"/>
      <c r="E1" s="629"/>
      <c r="F1" s="629"/>
      <c r="G1" s="629"/>
      <c r="H1" s="629"/>
      <c r="I1" s="629"/>
      <c r="J1" s="629"/>
      <c r="K1" s="629"/>
      <c r="L1" s="629"/>
      <c r="M1" s="629"/>
      <c r="N1" s="629"/>
      <c r="O1" s="629"/>
      <c r="P1" s="629"/>
    </row>
    <row r="2" spans="1:20" ht="30" customHeight="1" x14ac:dyDescent="0.3">
      <c r="A2" s="625" t="s">
        <v>1</v>
      </c>
      <c r="B2" s="625"/>
      <c r="C2" s="625"/>
      <c r="D2" s="625"/>
      <c r="E2" s="625"/>
      <c r="F2" s="625"/>
      <c r="G2" s="625"/>
      <c r="H2" s="625"/>
      <c r="I2" s="625"/>
      <c r="J2" s="625"/>
      <c r="K2" s="625"/>
      <c r="L2" s="625"/>
      <c r="M2" s="625"/>
      <c r="N2" s="625"/>
      <c r="O2" s="625"/>
      <c r="P2" s="625"/>
    </row>
    <row r="3" spans="1:20" ht="30" customHeight="1" x14ac:dyDescent="0.3">
      <c r="A3" s="7" t="s">
        <v>239</v>
      </c>
      <c r="B3" s="7" t="s">
        <v>2</v>
      </c>
      <c r="C3" s="7" t="s">
        <v>3</v>
      </c>
      <c r="D3" s="7" t="s">
        <v>4</v>
      </c>
      <c r="E3" s="7" t="s">
        <v>256</v>
      </c>
      <c r="F3" s="7" t="s">
        <v>257</v>
      </c>
      <c r="G3" s="7" t="s">
        <v>241</v>
      </c>
      <c r="H3" s="7" t="s">
        <v>258</v>
      </c>
      <c r="I3" s="7" t="s">
        <v>259</v>
      </c>
      <c r="J3" s="7" t="s">
        <v>260</v>
      </c>
      <c r="K3" s="7" t="s">
        <v>261</v>
      </c>
      <c r="L3" s="7" t="s">
        <v>262</v>
      </c>
      <c r="M3" s="7" t="s">
        <v>263</v>
      </c>
      <c r="N3" s="7" t="s">
        <v>264</v>
      </c>
      <c r="O3" s="7" t="s">
        <v>240</v>
      </c>
      <c r="P3" s="7" t="s">
        <v>243</v>
      </c>
      <c r="Q3" s="1" t="s">
        <v>51</v>
      </c>
      <c r="R3" s="1" t="s">
        <v>51</v>
      </c>
      <c r="S3" s="1" t="s">
        <v>51</v>
      </c>
      <c r="T3" s="1" t="s">
        <v>49</v>
      </c>
    </row>
    <row r="4" spans="1:20" ht="30" customHeight="1" x14ac:dyDescent="0.3">
      <c r="B4" s="626" t="s">
        <v>265</v>
      </c>
      <c r="C4" s="627"/>
      <c r="D4" s="627"/>
      <c r="E4" s="627"/>
      <c r="F4" s="627"/>
      <c r="G4" s="627"/>
      <c r="H4" s="627"/>
      <c r="I4" s="627"/>
      <c r="J4" s="627"/>
      <c r="K4" s="627"/>
      <c r="L4" s="627"/>
      <c r="M4" s="627"/>
      <c r="N4" s="627"/>
      <c r="O4" s="627"/>
      <c r="P4" s="628"/>
    </row>
    <row r="5" spans="1:20" ht="30" customHeight="1" x14ac:dyDescent="0.3">
      <c r="B5" s="626" t="s">
        <v>266</v>
      </c>
      <c r="C5" s="627"/>
      <c r="D5" s="627"/>
      <c r="E5" s="627"/>
      <c r="F5" s="627"/>
      <c r="G5" s="627"/>
      <c r="H5" s="627"/>
      <c r="I5" s="627"/>
      <c r="J5" s="627"/>
      <c r="K5" s="627"/>
      <c r="L5" s="627"/>
      <c r="M5" s="627"/>
      <c r="N5" s="627"/>
      <c r="O5" s="627"/>
      <c r="P5" s="628"/>
    </row>
    <row r="6" spans="1:20" ht="30" customHeight="1" x14ac:dyDescent="0.3">
      <c r="B6" s="626" t="s">
        <v>267</v>
      </c>
      <c r="C6" s="627"/>
      <c r="D6" s="627"/>
      <c r="E6" s="627"/>
      <c r="F6" s="627"/>
      <c r="G6" s="627"/>
      <c r="H6" s="627"/>
      <c r="I6" s="627"/>
      <c r="J6" s="627"/>
      <c r="K6" s="627"/>
      <c r="L6" s="627"/>
      <c r="M6" s="627"/>
      <c r="N6" s="627"/>
      <c r="O6" s="627"/>
      <c r="P6" s="628"/>
    </row>
    <row r="7" spans="1:20" ht="30" customHeight="1" x14ac:dyDescent="0.3">
      <c r="B7" s="626" t="s">
        <v>268</v>
      </c>
      <c r="C7" s="627"/>
      <c r="D7" s="627"/>
      <c r="E7" s="627"/>
      <c r="F7" s="627"/>
      <c r="G7" s="627"/>
      <c r="H7" s="627"/>
      <c r="I7" s="627"/>
      <c r="J7" s="627"/>
      <c r="K7" s="627"/>
      <c r="L7" s="627"/>
      <c r="M7" s="627"/>
      <c r="N7" s="627"/>
      <c r="O7" s="627"/>
      <c r="P7" s="628"/>
    </row>
    <row r="8" spans="1:20" ht="30" customHeight="1" x14ac:dyDescent="0.3">
      <c r="B8" s="626" t="s">
        <v>269</v>
      </c>
      <c r="C8" s="627"/>
      <c r="D8" s="627"/>
      <c r="E8" s="627"/>
      <c r="F8" s="627"/>
      <c r="G8" s="627"/>
      <c r="H8" s="627"/>
      <c r="I8" s="627"/>
      <c r="J8" s="627"/>
      <c r="K8" s="627"/>
      <c r="L8" s="627"/>
      <c r="M8" s="627"/>
      <c r="N8" s="627"/>
      <c r="O8" s="627"/>
      <c r="P8" s="628"/>
    </row>
    <row r="9" spans="1:20" ht="30" customHeight="1" x14ac:dyDescent="0.3">
      <c r="B9" s="626" t="s">
        <v>270</v>
      </c>
      <c r="C9" s="627"/>
      <c r="D9" s="627"/>
      <c r="E9" s="627"/>
      <c r="F9" s="627"/>
      <c r="G9" s="627"/>
      <c r="H9" s="627"/>
      <c r="I9" s="627"/>
      <c r="J9" s="627"/>
      <c r="K9" s="627"/>
      <c r="L9" s="627"/>
      <c r="M9" s="627"/>
      <c r="N9" s="627"/>
      <c r="O9" s="627"/>
      <c r="P9" s="628"/>
    </row>
  </sheetData>
  <mergeCells count="8">
    <mergeCell ref="B8:P8"/>
    <mergeCell ref="B9:P9"/>
    <mergeCell ref="A1:P1"/>
    <mergeCell ref="A2:P2"/>
    <mergeCell ref="B4:P4"/>
    <mergeCell ref="B5:P5"/>
    <mergeCell ref="B6:P6"/>
    <mergeCell ref="B7:P7"/>
  </mergeCells>
  <phoneticPr fontId="1" type="noConversion"/>
  <pageMargins left="0.78740157480314954" right="0" top="0.39370078740157477" bottom="0.39370078740157477" header="0" footer="0"/>
  <pageSetup paperSize="9" scale="43" fitToHeight="0" orientation="landscape" horizontalDpi="1200" verticalDpi="12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484D32-8DF8-4469-9768-A769E7361234}">
  <dimension ref="A1:D7"/>
  <sheetViews>
    <sheetView workbookViewId="0"/>
  </sheetViews>
  <sheetFormatPr defaultRowHeight="16.5" x14ac:dyDescent="0.3"/>
  <cols>
    <col min="1" max="1" width="40.625" customWidth="1"/>
    <col min="3" max="3" width="15.625" customWidth="1"/>
    <col min="4" max="4" width="24.625" hidden="1" customWidth="1"/>
  </cols>
  <sheetData>
    <row r="1" spans="1:4" x14ac:dyDescent="0.3">
      <c r="A1" t="s">
        <v>252</v>
      </c>
      <c r="B1" t="s">
        <v>253</v>
      </c>
      <c r="C1" t="s">
        <v>254</v>
      </c>
      <c r="D1" t="s">
        <v>13</v>
      </c>
    </row>
    <row r="2" spans="1:4" x14ac:dyDescent="0.3">
      <c r="A2" s="1" t="s">
        <v>53</v>
      </c>
      <c r="B2">
        <v>100</v>
      </c>
      <c r="D2" s="1" t="s">
        <v>54</v>
      </c>
    </row>
    <row r="3" spans="1:4" x14ac:dyDescent="0.3">
      <c r="A3" s="1" t="s">
        <v>96</v>
      </c>
      <c r="B3">
        <v>100</v>
      </c>
      <c r="D3" s="1" t="s">
        <v>97</v>
      </c>
    </row>
    <row r="4" spans="1:4" x14ac:dyDescent="0.3">
      <c r="A4" s="1" t="s">
        <v>107</v>
      </c>
      <c r="B4">
        <v>100</v>
      </c>
      <c r="D4" s="1" t="s">
        <v>108</v>
      </c>
    </row>
    <row r="5" spans="1:4" x14ac:dyDescent="0.3">
      <c r="A5" s="1" t="s">
        <v>146</v>
      </c>
      <c r="B5">
        <v>100</v>
      </c>
      <c r="D5" s="1" t="s">
        <v>147</v>
      </c>
    </row>
    <row r="6" spans="1:4" x14ac:dyDescent="0.3">
      <c r="A6" s="1" t="s">
        <v>175</v>
      </c>
      <c r="B6">
        <v>100</v>
      </c>
      <c r="D6" s="1" t="s">
        <v>176</v>
      </c>
    </row>
    <row r="7" spans="1:4" x14ac:dyDescent="0.3">
      <c r="A7" s="1" t="s">
        <v>215</v>
      </c>
      <c r="B7">
        <v>100</v>
      </c>
      <c r="D7" s="1" t="s">
        <v>216</v>
      </c>
    </row>
  </sheetData>
  <phoneticPr fontId="1"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3B653D-9390-4054-B797-40BC9B7D7004}">
  <dimension ref="A1:M43"/>
  <sheetViews>
    <sheetView workbookViewId="0"/>
  </sheetViews>
  <sheetFormatPr defaultRowHeight="16.5" x14ac:dyDescent="0.3"/>
  <sheetData>
    <row r="1" spans="1:7" x14ac:dyDescent="0.3">
      <c r="A1" t="s">
        <v>271</v>
      </c>
    </row>
    <row r="2" spans="1:7" x14ac:dyDescent="0.3">
      <c r="A2" s="1" t="s">
        <v>272</v>
      </c>
      <c r="B2" t="s">
        <v>273</v>
      </c>
      <c r="C2" s="1" t="s">
        <v>274</v>
      </c>
    </row>
    <row r="3" spans="1:7" x14ac:dyDescent="0.3">
      <c r="A3" s="1" t="s">
        <v>275</v>
      </c>
      <c r="B3" t="s">
        <v>276</v>
      </c>
    </row>
    <row r="4" spans="1:7" x14ac:dyDescent="0.3">
      <c r="A4" s="1" t="s">
        <v>277</v>
      </c>
      <c r="B4">
        <v>5</v>
      </c>
    </row>
    <row r="5" spans="1:7" x14ac:dyDescent="0.3">
      <c r="A5" s="1" t="s">
        <v>278</v>
      </c>
      <c r="B5">
        <v>5</v>
      </c>
    </row>
    <row r="6" spans="1:7" x14ac:dyDescent="0.3">
      <c r="A6" s="1" t="s">
        <v>279</v>
      </c>
      <c r="B6" t="s">
        <v>280</v>
      </c>
    </row>
    <row r="7" spans="1:7" x14ac:dyDescent="0.3">
      <c r="A7" s="1" t="s">
        <v>281</v>
      </c>
      <c r="B7" t="s">
        <v>245</v>
      </c>
      <c r="C7">
        <v>1</v>
      </c>
    </row>
    <row r="8" spans="1:7" x14ac:dyDescent="0.3">
      <c r="A8" s="1" t="s">
        <v>282</v>
      </c>
      <c r="B8" t="s">
        <v>245</v>
      </c>
      <c r="C8">
        <v>2</v>
      </c>
    </row>
    <row r="9" spans="1:7" x14ac:dyDescent="0.3">
      <c r="A9" s="1" t="s">
        <v>283</v>
      </c>
      <c r="B9" t="s">
        <v>246</v>
      </c>
      <c r="C9" t="s">
        <v>247</v>
      </c>
      <c r="D9" t="s">
        <v>248</v>
      </c>
      <c r="E9" t="s">
        <v>249</v>
      </c>
      <c r="F9" t="s">
        <v>250</v>
      </c>
      <c r="G9" t="s">
        <v>284</v>
      </c>
    </row>
    <row r="10" spans="1:7" x14ac:dyDescent="0.3">
      <c r="A10" s="1" t="s">
        <v>285</v>
      </c>
      <c r="B10">
        <v>1289</v>
      </c>
      <c r="C10">
        <v>0</v>
      </c>
      <c r="D10">
        <v>0</v>
      </c>
    </row>
    <row r="11" spans="1:7" x14ac:dyDescent="0.3">
      <c r="A11" s="1" t="s">
        <v>286</v>
      </c>
      <c r="B11" t="s">
        <v>287</v>
      </c>
      <c r="C11">
        <v>4</v>
      </c>
    </row>
    <row r="12" spans="1:7" x14ac:dyDescent="0.3">
      <c r="A12" s="1" t="s">
        <v>288</v>
      </c>
      <c r="B12" t="s">
        <v>287</v>
      </c>
      <c r="C12">
        <v>4</v>
      </c>
    </row>
    <row r="13" spans="1:7" x14ac:dyDescent="0.3">
      <c r="A13" s="1" t="s">
        <v>289</v>
      </c>
      <c r="B13" t="s">
        <v>287</v>
      </c>
      <c r="C13">
        <v>3</v>
      </c>
    </row>
    <row r="14" spans="1:7" x14ac:dyDescent="0.3">
      <c r="A14" s="1" t="s">
        <v>290</v>
      </c>
      <c r="B14" t="s">
        <v>287</v>
      </c>
      <c r="C14">
        <v>5</v>
      </c>
    </row>
    <row r="15" spans="1:7" x14ac:dyDescent="0.3">
      <c r="A15" s="1" t="s">
        <v>291</v>
      </c>
      <c r="B15" t="s">
        <v>242</v>
      </c>
      <c r="C15" t="s">
        <v>292</v>
      </c>
      <c r="D15" t="s">
        <v>292</v>
      </c>
      <c r="E15" t="s">
        <v>292</v>
      </c>
      <c r="F15">
        <v>1</v>
      </c>
    </row>
    <row r="16" spans="1:7" x14ac:dyDescent="0.3">
      <c r="A16" s="1" t="s">
        <v>293</v>
      </c>
      <c r="B16">
        <v>1.1100000000000001</v>
      </c>
      <c r="C16">
        <v>1.1200000000000001</v>
      </c>
    </row>
    <row r="17" spans="1:13" x14ac:dyDescent="0.3">
      <c r="A17" s="1" t="s">
        <v>294</v>
      </c>
      <c r="B17">
        <v>1</v>
      </c>
      <c r="C17">
        <v>1.5</v>
      </c>
      <c r="D17">
        <v>1.1599999999999999</v>
      </c>
      <c r="E17">
        <v>1.6</v>
      </c>
      <c r="F17">
        <v>1.6</v>
      </c>
      <c r="G17">
        <v>1.6</v>
      </c>
      <c r="H17">
        <v>1.94</v>
      </c>
      <c r="I17">
        <v>1.94</v>
      </c>
      <c r="J17">
        <v>1.94</v>
      </c>
      <c r="K17">
        <v>1</v>
      </c>
      <c r="L17">
        <v>1</v>
      </c>
      <c r="M17">
        <v>1</v>
      </c>
    </row>
    <row r="18" spans="1:13" x14ac:dyDescent="0.3">
      <c r="A18" s="1" t="s">
        <v>295</v>
      </c>
      <c r="B18">
        <v>1.25</v>
      </c>
      <c r="C18">
        <v>1.071</v>
      </c>
    </row>
    <row r="19" spans="1:13" x14ac:dyDescent="0.3">
      <c r="A19" s="1" t="s">
        <v>296</v>
      </c>
    </row>
    <row r="20" spans="1:13" x14ac:dyDescent="0.3">
      <c r="A20" s="1" t="s">
        <v>297</v>
      </c>
      <c r="B20" s="1" t="s">
        <v>245</v>
      </c>
      <c r="C20">
        <v>1</v>
      </c>
    </row>
    <row r="21" spans="1:13" x14ac:dyDescent="0.3">
      <c r="A21" t="s">
        <v>244</v>
      </c>
      <c r="B21" t="s">
        <v>299</v>
      </c>
      <c r="C21" t="s">
        <v>300</v>
      </c>
    </row>
    <row r="22" spans="1:13" x14ac:dyDescent="0.3">
      <c r="A22">
        <v>1</v>
      </c>
      <c r="B22" s="1" t="s">
        <v>301</v>
      </c>
      <c r="C22" s="1" t="s">
        <v>302</v>
      </c>
    </row>
    <row r="23" spans="1:13" x14ac:dyDescent="0.3">
      <c r="A23">
        <v>2</v>
      </c>
      <c r="B23" s="1" t="s">
        <v>303</v>
      </c>
      <c r="C23" s="1" t="s">
        <v>304</v>
      </c>
    </row>
    <row r="24" spans="1:13" x14ac:dyDescent="0.3">
      <c r="A24">
        <v>3</v>
      </c>
      <c r="B24" s="1" t="s">
        <v>305</v>
      </c>
      <c r="C24" s="1" t="s">
        <v>306</v>
      </c>
    </row>
    <row r="25" spans="1:13" x14ac:dyDescent="0.3">
      <c r="A25">
        <v>4</v>
      </c>
      <c r="B25" s="1" t="s">
        <v>307</v>
      </c>
      <c r="C25" s="1" t="s">
        <v>308</v>
      </c>
    </row>
    <row r="26" spans="1:13" x14ac:dyDescent="0.3">
      <c r="A26">
        <v>5</v>
      </c>
      <c r="B26" s="1" t="s">
        <v>309</v>
      </c>
      <c r="C26" s="1" t="s">
        <v>51</v>
      </c>
    </row>
    <row r="27" spans="1:13" x14ac:dyDescent="0.3">
      <c r="A27">
        <v>6</v>
      </c>
      <c r="B27" s="1" t="s">
        <v>310</v>
      </c>
      <c r="C27" s="1" t="s">
        <v>51</v>
      </c>
    </row>
    <row r="28" spans="1:13" x14ac:dyDescent="0.3">
      <c r="A28">
        <v>7</v>
      </c>
      <c r="B28" s="1" t="s">
        <v>310</v>
      </c>
      <c r="C28" s="1" t="s">
        <v>51</v>
      </c>
    </row>
    <row r="29" spans="1:13" x14ac:dyDescent="0.3">
      <c r="A29">
        <v>8</v>
      </c>
      <c r="B29" s="1" t="s">
        <v>310</v>
      </c>
      <c r="C29" s="1" t="s">
        <v>51</v>
      </c>
    </row>
    <row r="30" spans="1:13" x14ac:dyDescent="0.3">
      <c r="A30">
        <v>9</v>
      </c>
      <c r="B30" s="1" t="s">
        <v>310</v>
      </c>
      <c r="C30" s="1" t="s">
        <v>51</v>
      </c>
    </row>
    <row r="31" spans="1:13" x14ac:dyDescent="0.3">
      <c r="A31" t="s">
        <v>242</v>
      </c>
      <c r="B31" s="1" t="s">
        <v>311</v>
      </c>
      <c r="C31" s="1" t="s">
        <v>51</v>
      </c>
    </row>
    <row r="32" spans="1:13" x14ac:dyDescent="0.3">
      <c r="A32" t="s">
        <v>251</v>
      </c>
      <c r="B32" s="1" t="s">
        <v>312</v>
      </c>
      <c r="C32" s="1" t="s">
        <v>51</v>
      </c>
    </row>
    <row r="33" spans="1:3" x14ac:dyDescent="0.3">
      <c r="A33" t="s">
        <v>245</v>
      </c>
      <c r="B33" s="1" t="s">
        <v>311</v>
      </c>
      <c r="C33" s="1" t="s">
        <v>51</v>
      </c>
    </row>
    <row r="34" spans="1:3" x14ac:dyDescent="0.3">
      <c r="A34" t="s">
        <v>273</v>
      </c>
      <c r="B34" s="1" t="s">
        <v>311</v>
      </c>
      <c r="C34" s="1" t="s">
        <v>51</v>
      </c>
    </row>
    <row r="35" spans="1:3" x14ac:dyDescent="0.3">
      <c r="A35" t="s">
        <v>313</v>
      </c>
      <c r="B35" s="1" t="s">
        <v>311</v>
      </c>
      <c r="C35" s="1" t="s">
        <v>51</v>
      </c>
    </row>
    <row r="36" spans="1:3" x14ac:dyDescent="0.3">
      <c r="A36" t="s">
        <v>60</v>
      </c>
      <c r="B36" s="1" t="s">
        <v>311</v>
      </c>
      <c r="C36" s="1" t="s">
        <v>51</v>
      </c>
    </row>
    <row r="37" spans="1:3" x14ac:dyDescent="0.3">
      <c r="A37" t="s">
        <v>314</v>
      </c>
      <c r="B37" s="1" t="s">
        <v>311</v>
      </c>
      <c r="C37" s="1" t="s">
        <v>51</v>
      </c>
    </row>
    <row r="38" spans="1:3" x14ac:dyDescent="0.3">
      <c r="A38" t="s">
        <v>315</v>
      </c>
      <c r="B38" s="1" t="s">
        <v>311</v>
      </c>
      <c r="C38" s="1" t="s">
        <v>51</v>
      </c>
    </row>
    <row r="39" spans="1:3" x14ac:dyDescent="0.3">
      <c r="A39" t="s">
        <v>316</v>
      </c>
      <c r="B39" s="1" t="s">
        <v>311</v>
      </c>
      <c r="C39" s="1" t="s">
        <v>51</v>
      </c>
    </row>
    <row r="40" spans="1:3" x14ac:dyDescent="0.3">
      <c r="A40" t="s">
        <v>317</v>
      </c>
      <c r="B40" s="1" t="s">
        <v>311</v>
      </c>
      <c r="C40" s="1" t="s">
        <v>51</v>
      </c>
    </row>
    <row r="43" spans="1:3" x14ac:dyDescent="0.3">
      <c r="A43" t="s">
        <v>298</v>
      </c>
      <c r="B43">
        <v>1234</v>
      </c>
    </row>
  </sheetData>
  <phoneticPr fontId="1" type="noConversion"/>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3A19A0-7888-4D08-8033-6DC6F94D9EFD}">
  <dimension ref="A1"/>
  <sheetViews>
    <sheetView workbookViewId="0"/>
  </sheetViews>
  <sheetFormatPr defaultRowHeight="16.5" x14ac:dyDescent="0.3"/>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12</vt:i4>
      </vt:variant>
      <vt:variant>
        <vt:lpstr>이름 지정된 범위</vt:lpstr>
      </vt:variant>
      <vt:variant>
        <vt:i4>12</vt:i4>
      </vt:variant>
    </vt:vector>
  </HeadingPairs>
  <TitlesOfParts>
    <vt:vector size="24" baseType="lpstr">
      <vt:lpstr>원가</vt:lpstr>
      <vt:lpstr>재해예방</vt:lpstr>
      <vt:lpstr>한전</vt:lpstr>
      <vt:lpstr>전기자동차</vt:lpstr>
      <vt:lpstr>태양광</vt:lpstr>
      <vt:lpstr>고자재</vt:lpstr>
      <vt:lpstr>공종별집계표</vt:lpstr>
      <vt:lpstr>공종별내역서</vt:lpstr>
      <vt:lpstr>공량산출근거서</vt:lpstr>
      <vt:lpstr>공량설정</vt:lpstr>
      <vt:lpstr> 공사설정 </vt:lpstr>
      <vt:lpstr>Sheet1</vt:lpstr>
      <vt:lpstr>고자재!Print_Area</vt:lpstr>
      <vt:lpstr>공종별내역서!Print_Area</vt:lpstr>
      <vt:lpstr>공종별집계표!Print_Area</vt:lpstr>
      <vt:lpstr>원가!Print_Area</vt:lpstr>
      <vt:lpstr>재해예방!Print_Area</vt:lpstr>
      <vt:lpstr>전기자동차!Print_Area</vt:lpstr>
      <vt:lpstr>태양광!Print_Area</vt:lpstr>
      <vt:lpstr>한전!Print_Area</vt:lpstr>
      <vt:lpstr>고자재!Print_Titles</vt:lpstr>
      <vt:lpstr>공량산출근거서!Print_Titles</vt:lpstr>
      <vt:lpstr>공종별내역서!Print_Titles</vt:lpstr>
      <vt:lpstr>공종별집계표!Print_Titles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HAN7500F</dc:creator>
  <cp:lastModifiedBy>user1</cp:lastModifiedBy>
  <dcterms:created xsi:type="dcterms:W3CDTF">2026-06-02T04:07:39Z</dcterms:created>
  <dcterms:modified xsi:type="dcterms:W3CDTF">2026-09-29T04:43:36Z</dcterms:modified>
</cp:coreProperties>
</file>